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36" windowWidth="19440" windowHeight="8052" tabRatio="869" firstSheet="12" activeTab="18"/>
  </bookViews>
  <sheets>
    <sheet name="Table 1. Performance Indicator " sheetId="39" r:id="rId1"/>
    <sheet name="Table 2. City Financial Perform" sheetId="36" r:id="rId2"/>
    <sheet name="Table 3. 1st Round Public Consu" sheetId="51" r:id="rId3"/>
    <sheet name="Table 4. 2nd Round Public Consu" sheetId="52" r:id="rId4"/>
    <sheet name="Table 5. Prioritized Projects" sheetId="65" r:id="rId5"/>
    <sheet name="Table 6. Summary of Multi year" sheetId="37" r:id="rId6"/>
    <sheet name="Table 7. Mulyi year" sheetId="66" r:id="rId7"/>
    <sheet name="Table 8. Past 3 year expenditur" sheetId="43" r:id="rId8"/>
    <sheet name="Table 9. Three-year Summary" sheetId="29" r:id="rId9"/>
    <sheet name="10. Three-year Rolling CIP" sheetId="30" r:id="rId10"/>
    <sheet name="11. Three-year-IBEX" sheetId="31" r:id="rId11"/>
    <sheet name="12. Detail by source fund" sheetId="34" r:id="rId12"/>
    <sheet name="13. Detailed AAP " sheetId="49" r:id="rId13"/>
    <sheet name="14. Three Year Maintenance" sheetId="13" r:id="rId14"/>
    <sheet name="15. Maintenance action plan" sheetId="35" r:id="rId15"/>
    <sheet name="16. APP UIIDP" sheetId="47" r:id="rId16"/>
    <sheet name="State projects APP" sheetId="28" r:id="rId17"/>
    <sheet name=" Municipal Projects APP " sheetId="10" r:id="rId18"/>
    <sheet name="Goods APP " sheetId="11" r:id="rId19"/>
    <sheet name=" Maintenance APP " sheetId="44" r:id="rId20"/>
    <sheet name="17. Staffing" sheetId="62" r:id="rId21"/>
    <sheet name="18.JOB CREATION" sheetId="64" r:id="rId22"/>
    <sheet name="19. capacity Building Plan" sheetId="56" r:id="rId23"/>
    <sheet name="20. AAP Capacity Building" sheetId="57" r:id="rId24"/>
  </sheets>
  <externalReferences>
    <externalReference r:id="rId25"/>
  </externalReferences>
  <definedNames>
    <definedName name="_ftn1" localSheetId="9">'10. Three-year Rolling CIP'!$C$145</definedName>
    <definedName name="_ftn2" localSheetId="1">'Table 2. City Financial Perform'!$O$30</definedName>
    <definedName name="_ftnref1" localSheetId="9">'10. Three-year Rolling CIP'!$D$5</definedName>
    <definedName name="_ftnref1" localSheetId="14">'15. Maintenance action plan'!$J$10</definedName>
    <definedName name="_ftnref2" localSheetId="1">'Table 2. City Financial Perform'!$P$19</definedName>
    <definedName name="_Hlk505155074" localSheetId="2">'Table 3. 1st Round Public Consu'!$B$2</definedName>
    <definedName name="_Hlk505155215" localSheetId="3">'Table 4. 2nd Round Public Consu'!$B$2</definedName>
    <definedName name="_Toc441585897" localSheetId="0">'Table 1. Performance Indicator '!$C$2</definedName>
    <definedName name="_Toc441585911" localSheetId="20">'17. Staffing'!$D$5</definedName>
    <definedName name="_xlnm.Print_Area" localSheetId="19">' Maintenance APP '!$A$1:$Z$46</definedName>
    <definedName name="_xlnm.Print_Area" localSheetId="17">' Municipal Projects APP '!$A$1:$AB$26</definedName>
    <definedName name="_xlnm.Print_Area" localSheetId="10">'11. Three-year-IBEX'!$A$1:$H$14</definedName>
    <definedName name="_xlnm.Print_Area" localSheetId="14">'15. Maintenance action plan'!$B$1:$J$36</definedName>
    <definedName name="_xlnm.Print_Area" localSheetId="15">'16. APP UIIDP'!$A$1:$AT$245</definedName>
    <definedName name="_xlnm.Print_Area" localSheetId="18">'Goods APP '!$A$1:$AB$59</definedName>
    <definedName name="_xlnm.Print_Area" localSheetId="16">'State projects APP'!$A$1:$AT$28</definedName>
    <definedName name="_xlnm.Print_Area" localSheetId="2">'Table 3. 1st Round Public Consu'!$A$1:$M$28</definedName>
    <definedName name="_xlnm.Print_Area" localSheetId="5">'Table 6. Summary of Multi year'!$B$1:$G$17</definedName>
    <definedName name="_xlnm.Print_Area" localSheetId="7">'Table 8. Past 3 year expenditur'!$A$1:$G$67</definedName>
  </definedNames>
  <calcPr calcId="152511"/>
</workbook>
</file>

<file path=xl/calcChain.xml><?xml version="1.0" encoding="utf-8"?>
<calcChain xmlns="http://schemas.openxmlformats.org/spreadsheetml/2006/main">
  <c r="AA55" i="11" l="1"/>
  <c r="R55" i="11"/>
  <c r="S55" i="11" s="1"/>
  <c r="T55" i="11" s="1"/>
  <c r="V55" i="11" s="1"/>
  <c r="W55" i="11" s="1"/>
  <c r="AA52" i="11"/>
  <c r="R52" i="11"/>
  <c r="S52" i="11" s="1"/>
  <c r="T52" i="11" s="1"/>
  <c r="V52" i="11" s="1"/>
  <c r="W52" i="11" s="1"/>
  <c r="AA49" i="11"/>
  <c r="R49" i="11"/>
  <c r="S49" i="11" s="1"/>
  <c r="T49" i="11" s="1"/>
  <c r="V49" i="11" s="1"/>
  <c r="W49" i="11" s="1"/>
  <c r="AA46" i="11"/>
  <c r="R46" i="11"/>
  <c r="S46" i="11" s="1"/>
  <c r="T46" i="11" s="1"/>
  <c r="V46" i="11" s="1"/>
  <c r="W46" i="11" s="1"/>
  <c r="AA41" i="11"/>
  <c r="R41" i="11"/>
  <c r="S41" i="11" s="1"/>
  <c r="T41" i="11" s="1"/>
  <c r="V41" i="11" s="1"/>
  <c r="W41" i="11" s="1"/>
  <c r="AA38" i="11"/>
  <c r="R38" i="11"/>
  <c r="S38" i="11" s="1"/>
  <c r="T38" i="11" s="1"/>
  <c r="V38" i="11" s="1"/>
  <c r="W38" i="11" s="1"/>
  <c r="AA35" i="11"/>
  <c r="R35" i="11"/>
  <c r="S35" i="11" s="1"/>
  <c r="T35" i="11" s="1"/>
  <c r="V35" i="11" s="1"/>
  <c r="W35" i="11" s="1"/>
  <c r="AA32" i="11"/>
  <c r="R32" i="11"/>
  <c r="S32" i="11" s="1"/>
  <c r="T32" i="11" s="1"/>
  <c r="V32" i="11" s="1"/>
  <c r="W32" i="11" s="1"/>
  <c r="AA29" i="11"/>
  <c r="R29" i="11"/>
  <c r="S29" i="11" s="1"/>
  <c r="T29" i="11" s="1"/>
  <c r="V29" i="11" s="1"/>
  <c r="W29" i="11" s="1"/>
  <c r="Z19" i="11"/>
  <c r="R19" i="11"/>
  <c r="S19" i="11" s="1"/>
  <c r="T19" i="11" s="1"/>
  <c r="V19" i="11" s="1"/>
  <c r="W19" i="11" s="1"/>
  <c r="X19" i="11" s="1"/>
  <c r="P19" i="11"/>
  <c r="O19" i="11" s="1"/>
  <c r="Z16" i="11"/>
  <c r="S16" i="11"/>
  <c r="T16" i="11" s="1"/>
  <c r="V16" i="11" s="1"/>
  <c r="W16" i="11" s="1"/>
  <c r="X16" i="11" s="1"/>
  <c r="R16" i="11"/>
  <c r="P16" i="11"/>
  <c r="O16" i="11"/>
  <c r="S168" i="47"/>
  <c r="T168" i="47" s="1"/>
  <c r="U168" i="47" s="1"/>
  <c r="W168" i="47" s="1"/>
  <c r="X168" i="47" s="1"/>
  <c r="Y168" i="47" s="1"/>
  <c r="Z168" i="47" s="1"/>
  <c r="AA168" i="47" s="1"/>
  <c r="Q168" i="47"/>
  <c r="P168" i="47" s="1"/>
  <c r="S153" i="47"/>
  <c r="T153" i="47" s="1"/>
  <c r="U153" i="47" s="1"/>
  <c r="W153" i="47" s="1"/>
  <c r="X153" i="47" s="1"/>
  <c r="Y153" i="47" s="1"/>
  <c r="Z153" i="47" s="1"/>
  <c r="AA153" i="47" s="1"/>
  <c r="Q153" i="47"/>
  <c r="P153" i="47" s="1"/>
  <c r="S150" i="47"/>
  <c r="T150" i="47" s="1"/>
  <c r="U150" i="47" s="1"/>
  <c r="W150" i="47" s="1"/>
  <c r="X150" i="47" s="1"/>
  <c r="Y150" i="47" s="1"/>
  <c r="Z150" i="47" s="1"/>
  <c r="AA150" i="47" s="1"/>
  <c r="Q150" i="47"/>
  <c r="P150" i="47"/>
  <c r="S147" i="47"/>
  <c r="T147" i="47" s="1"/>
  <c r="U147" i="47" s="1"/>
  <c r="W147" i="47" s="1"/>
  <c r="X147" i="47" s="1"/>
  <c r="Y147" i="47" s="1"/>
  <c r="Z147" i="47" s="1"/>
  <c r="AA147" i="47" s="1"/>
  <c r="Q147" i="47"/>
  <c r="P147" i="47"/>
  <c r="S144" i="47"/>
  <c r="T144" i="47" s="1"/>
  <c r="U144" i="47" s="1"/>
  <c r="W144" i="47" s="1"/>
  <c r="X144" i="47" s="1"/>
  <c r="Y144" i="47" s="1"/>
  <c r="Z144" i="47" s="1"/>
  <c r="AA144" i="47" s="1"/>
  <c r="Q144" i="47"/>
  <c r="P144" i="47" s="1"/>
  <c r="S139" i="47"/>
  <c r="T139" i="47" s="1"/>
  <c r="U139" i="47" s="1"/>
  <c r="W139" i="47" s="1"/>
  <c r="X139" i="47" s="1"/>
  <c r="Y139" i="47" s="1"/>
  <c r="Z139" i="47" s="1"/>
  <c r="AA139" i="47" s="1"/>
  <c r="Q139" i="47"/>
  <c r="P139" i="47" s="1"/>
  <c r="S136" i="47"/>
  <c r="T136" i="47" s="1"/>
  <c r="U136" i="47" s="1"/>
  <c r="W136" i="47" s="1"/>
  <c r="X136" i="47" s="1"/>
  <c r="Y136" i="47" s="1"/>
  <c r="Z136" i="47" s="1"/>
  <c r="AA136" i="47" s="1"/>
  <c r="Q136" i="47"/>
  <c r="P136" i="47"/>
  <c r="S133" i="47"/>
  <c r="T133" i="47" s="1"/>
  <c r="U133" i="47" s="1"/>
  <c r="W133" i="47" s="1"/>
  <c r="X133" i="47" s="1"/>
  <c r="Y133" i="47" s="1"/>
  <c r="Z133" i="47" s="1"/>
  <c r="AA133" i="47" s="1"/>
  <c r="Q133" i="47"/>
  <c r="P133" i="47" s="1"/>
  <c r="S130" i="47"/>
  <c r="T130" i="47" s="1"/>
  <c r="U130" i="47" s="1"/>
  <c r="W130" i="47" s="1"/>
  <c r="X130" i="47" s="1"/>
  <c r="Y130" i="47" s="1"/>
  <c r="Z130" i="47" s="1"/>
  <c r="AA130" i="47" s="1"/>
  <c r="Q130" i="47"/>
  <c r="P130" i="47" s="1"/>
  <c r="S127" i="47"/>
  <c r="T127" i="47" s="1"/>
  <c r="U127" i="47" s="1"/>
  <c r="W127" i="47" s="1"/>
  <c r="X127" i="47" s="1"/>
  <c r="Y127" i="47" s="1"/>
  <c r="Z127" i="47" s="1"/>
  <c r="AA127" i="47" s="1"/>
  <c r="Q127" i="47"/>
  <c r="P127" i="47" s="1"/>
  <c r="S124" i="47"/>
  <c r="T124" i="47" s="1"/>
  <c r="U124" i="47" s="1"/>
  <c r="W124" i="47" s="1"/>
  <c r="X124" i="47" s="1"/>
  <c r="Y124" i="47" s="1"/>
  <c r="Z124" i="47" s="1"/>
  <c r="AA124" i="47" s="1"/>
  <c r="Q124" i="47"/>
  <c r="P124" i="47" s="1"/>
  <c r="S121" i="47"/>
  <c r="T121" i="47" s="1"/>
  <c r="U121" i="47" s="1"/>
  <c r="W121" i="47" s="1"/>
  <c r="X121" i="47" s="1"/>
  <c r="Y121" i="47" s="1"/>
  <c r="Z121" i="47" s="1"/>
  <c r="AA121" i="47" s="1"/>
  <c r="Q121" i="47"/>
  <c r="P121" i="47" s="1"/>
  <c r="S118" i="47"/>
  <c r="T118" i="47" s="1"/>
  <c r="U118" i="47" s="1"/>
  <c r="W118" i="47" s="1"/>
  <c r="X118" i="47" s="1"/>
  <c r="Y118" i="47" s="1"/>
  <c r="Z118" i="47" s="1"/>
  <c r="AA118" i="47" s="1"/>
  <c r="Q118" i="47"/>
  <c r="P118" i="47" s="1"/>
  <c r="S115" i="47"/>
  <c r="T115" i="47" s="1"/>
  <c r="U115" i="47" s="1"/>
  <c r="W115" i="47" s="1"/>
  <c r="X115" i="47" s="1"/>
  <c r="Y115" i="47" s="1"/>
  <c r="Z115" i="47" s="1"/>
  <c r="AA115" i="47" s="1"/>
  <c r="Q115" i="47"/>
  <c r="P115" i="47" s="1"/>
  <c r="S112" i="47"/>
  <c r="T112" i="47" s="1"/>
  <c r="U112" i="47" s="1"/>
  <c r="W112" i="47" s="1"/>
  <c r="X112" i="47" s="1"/>
  <c r="Y112" i="47" s="1"/>
  <c r="Z112" i="47" s="1"/>
  <c r="AA112" i="47" s="1"/>
  <c r="Q112" i="47"/>
  <c r="P112" i="47"/>
  <c r="S109" i="47"/>
  <c r="T109" i="47" s="1"/>
  <c r="U109" i="47" s="1"/>
  <c r="W109" i="47" s="1"/>
  <c r="X109" i="47" s="1"/>
  <c r="Y109" i="47" s="1"/>
  <c r="Z109" i="47" s="1"/>
  <c r="AA109" i="47" s="1"/>
  <c r="Q109" i="47"/>
  <c r="P109" i="47"/>
  <c r="S101" i="47"/>
  <c r="T101" i="47" s="1"/>
  <c r="U101" i="47" s="1"/>
  <c r="W101" i="47" s="1"/>
  <c r="X101" i="47" s="1"/>
  <c r="Y101" i="47" s="1"/>
  <c r="Z101" i="47" s="1"/>
  <c r="AA101" i="47" s="1"/>
  <c r="Q101" i="47"/>
  <c r="P101" i="47" s="1"/>
  <c r="S98" i="47"/>
  <c r="T98" i="47" s="1"/>
  <c r="U98" i="47" s="1"/>
  <c r="W98" i="47" s="1"/>
  <c r="X98" i="47" s="1"/>
  <c r="Y98" i="47" s="1"/>
  <c r="Z98" i="47" s="1"/>
  <c r="AA98" i="47" s="1"/>
  <c r="Q98" i="47"/>
  <c r="P98" i="47" s="1"/>
  <c r="S95" i="47"/>
  <c r="T95" i="47" s="1"/>
  <c r="U95" i="47" s="1"/>
  <c r="W95" i="47" s="1"/>
  <c r="X95" i="47" s="1"/>
  <c r="Y95" i="47" s="1"/>
  <c r="Z95" i="47" s="1"/>
  <c r="AA95" i="47" s="1"/>
  <c r="Q95" i="47"/>
  <c r="P95" i="47" s="1"/>
  <c r="S92" i="47"/>
  <c r="T92" i="47" s="1"/>
  <c r="U92" i="47" s="1"/>
  <c r="W92" i="47" s="1"/>
  <c r="X92" i="47" s="1"/>
  <c r="Y92" i="47" s="1"/>
  <c r="Z92" i="47" s="1"/>
  <c r="AA92" i="47" s="1"/>
  <c r="Q92" i="47"/>
  <c r="P92" i="47" s="1"/>
  <c r="S89" i="47"/>
  <c r="T89" i="47" s="1"/>
  <c r="U89" i="47" s="1"/>
  <c r="W89" i="47" s="1"/>
  <c r="X89" i="47" s="1"/>
  <c r="Y89" i="47" s="1"/>
  <c r="Z89" i="47" s="1"/>
  <c r="AA89" i="47" s="1"/>
  <c r="Q89" i="47"/>
  <c r="P89" i="47" s="1"/>
  <c r="S86" i="47"/>
  <c r="T86" i="47" s="1"/>
  <c r="U86" i="47" s="1"/>
  <c r="W86" i="47" s="1"/>
  <c r="X86" i="47" s="1"/>
  <c r="Y86" i="47" s="1"/>
  <c r="Z86" i="47" s="1"/>
  <c r="AA86" i="47" s="1"/>
  <c r="Q86" i="47"/>
  <c r="P86" i="47" s="1"/>
  <c r="S83" i="47"/>
  <c r="T83" i="47" s="1"/>
  <c r="U83" i="47" s="1"/>
  <c r="W83" i="47" s="1"/>
  <c r="X83" i="47" s="1"/>
  <c r="Y83" i="47" s="1"/>
  <c r="Z83" i="47" s="1"/>
  <c r="AA83" i="47" s="1"/>
  <c r="Q83" i="47"/>
  <c r="P83" i="47" s="1"/>
  <c r="S80" i="47"/>
  <c r="T80" i="47" s="1"/>
  <c r="U80" i="47" s="1"/>
  <c r="W80" i="47" s="1"/>
  <c r="X80" i="47" s="1"/>
  <c r="Y80" i="47" s="1"/>
  <c r="Z80" i="47" s="1"/>
  <c r="AA80" i="47" s="1"/>
  <c r="Q80" i="47"/>
  <c r="P80" i="47" s="1"/>
  <c r="S77" i="47"/>
  <c r="T77" i="47" s="1"/>
  <c r="U77" i="47" s="1"/>
  <c r="W77" i="47" s="1"/>
  <c r="X77" i="47" s="1"/>
  <c r="Y77" i="47" s="1"/>
  <c r="Z77" i="47" s="1"/>
  <c r="AA77" i="47" s="1"/>
  <c r="Q77" i="47"/>
  <c r="P77" i="47" s="1"/>
  <c r="S74" i="47"/>
  <c r="T74" i="47" s="1"/>
  <c r="U74" i="47" s="1"/>
  <c r="W74" i="47" s="1"/>
  <c r="X74" i="47" s="1"/>
  <c r="Y74" i="47" s="1"/>
  <c r="Z74" i="47" s="1"/>
  <c r="AA74" i="47" s="1"/>
  <c r="Q74" i="47"/>
  <c r="P74" i="47" s="1"/>
  <c r="S71" i="47"/>
  <c r="T71" i="47" s="1"/>
  <c r="U71" i="47" s="1"/>
  <c r="W71" i="47" s="1"/>
  <c r="X71" i="47" s="1"/>
  <c r="Y71" i="47" s="1"/>
  <c r="Z71" i="47" s="1"/>
  <c r="AA71" i="47" s="1"/>
  <c r="Q71" i="47"/>
  <c r="P71" i="47" s="1"/>
  <c r="S68" i="47"/>
  <c r="T68" i="47" s="1"/>
  <c r="U68" i="47" s="1"/>
  <c r="W68" i="47" s="1"/>
  <c r="X68" i="47" s="1"/>
  <c r="Y68" i="47" s="1"/>
  <c r="Z68" i="47" s="1"/>
  <c r="AA68" i="47" s="1"/>
  <c r="Q68" i="47"/>
  <c r="P68" i="47" s="1"/>
  <c r="S65" i="47"/>
  <c r="T65" i="47" s="1"/>
  <c r="U65" i="47" s="1"/>
  <c r="W65" i="47" s="1"/>
  <c r="X65" i="47" s="1"/>
  <c r="Y65" i="47" s="1"/>
  <c r="Z65" i="47" s="1"/>
  <c r="AA65" i="47" s="1"/>
  <c r="Q65" i="47"/>
  <c r="P65" i="47" s="1"/>
  <c r="S62" i="47"/>
  <c r="T62" i="47" s="1"/>
  <c r="U62" i="47" s="1"/>
  <c r="W62" i="47" s="1"/>
  <c r="X62" i="47" s="1"/>
  <c r="Y62" i="47" s="1"/>
  <c r="Z62" i="47" s="1"/>
  <c r="AA62" i="47" s="1"/>
  <c r="Q62" i="47"/>
  <c r="P62" i="47"/>
  <c r="S59" i="47"/>
  <c r="T59" i="47" s="1"/>
  <c r="U59" i="47" s="1"/>
  <c r="W59" i="47" s="1"/>
  <c r="X59" i="47" s="1"/>
  <c r="Y59" i="47" s="1"/>
  <c r="Z59" i="47" s="1"/>
  <c r="AA59" i="47" s="1"/>
  <c r="Q59" i="47"/>
  <c r="P59" i="47" s="1"/>
  <c r="S56" i="47"/>
  <c r="T56" i="47" s="1"/>
  <c r="U56" i="47" s="1"/>
  <c r="W56" i="47" s="1"/>
  <c r="X56" i="47" s="1"/>
  <c r="Y56" i="47" s="1"/>
  <c r="Z56" i="47" s="1"/>
  <c r="AA56" i="47" s="1"/>
  <c r="Q56" i="47"/>
  <c r="P56" i="47" s="1"/>
  <c r="S53" i="47"/>
  <c r="T53" i="47" s="1"/>
  <c r="U53" i="47" s="1"/>
  <c r="W53" i="47" s="1"/>
  <c r="X53" i="47" s="1"/>
  <c r="Y53" i="47" s="1"/>
  <c r="Z53" i="47" s="1"/>
  <c r="AA53" i="47" s="1"/>
  <c r="Q53" i="47"/>
  <c r="P53" i="47" s="1"/>
  <c r="S50" i="47"/>
  <c r="T50" i="47" s="1"/>
  <c r="U50" i="47" s="1"/>
  <c r="W50" i="47" s="1"/>
  <c r="X50" i="47" s="1"/>
  <c r="Y50" i="47" s="1"/>
  <c r="Z50" i="47" s="1"/>
  <c r="AA50" i="47" s="1"/>
  <c r="Q50" i="47"/>
  <c r="P50" i="47" s="1"/>
  <c r="S47" i="47"/>
  <c r="T47" i="47" s="1"/>
  <c r="U47" i="47" s="1"/>
  <c r="W47" i="47" s="1"/>
  <c r="X47" i="47" s="1"/>
  <c r="Y47" i="47" s="1"/>
  <c r="Z47" i="47" s="1"/>
  <c r="AA47" i="47" s="1"/>
  <c r="Q47" i="47"/>
  <c r="P47" i="47" s="1"/>
  <c r="S44" i="47"/>
  <c r="T44" i="47" s="1"/>
  <c r="U44" i="47" s="1"/>
  <c r="W44" i="47" s="1"/>
  <c r="X44" i="47" s="1"/>
  <c r="Y44" i="47" s="1"/>
  <c r="Z44" i="47" s="1"/>
  <c r="AA44" i="47" s="1"/>
  <c r="Q44" i="47"/>
  <c r="P44" i="47"/>
  <c r="S41" i="47"/>
  <c r="T41" i="47" s="1"/>
  <c r="U41" i="47" s="1"/>
  <c r="W41" i="47" s="1"/>
  <c r="X41" i="47" s="1"/>
  <c r="Y41" i="47" s="1"/>
  <c r="Z41" i="47" s="1"/>
  <c r="AA41" i="47" s="1"/>
  <c r="Q41" i="47"/>
  <c r="P41" i="47"/>
  <c r="T38" i="47"/>
  <c r="U38" i="47" s="1"/>
  <c r="W38" i="47" s="1"/>
  <c r="X38" i="47" s="1"/>
  <c r="Y38" i="47" s="1"/>
  <c r="Z38" i="47" s="1"/>
  <c r="AA38" i="47" s="1"/>
  <c r="S38" i="47"/>
  <c r="Q38" i="47"/>
  <c r="P38" i="47"/>
  <c r="S35" i="47"/>
  <c r="T35" i="47" s="1"/>
  <c r="U35" i="47" s="1"/>
  <c r="W35" i="47" s="1"/>
  <c r="X35" i="47" s="1"/>
  <c r="Y35" i="47" s="1"/>
  <c r="Z35" i="47" s="1"/>
  <c r="AA35" i="47" s="1"/>
  <c r="Q35" i="47"/>
  <c r="P35" i="47" s="1"/>
  <c r="S32" i="47"/>
  <c r="T32" i="47" s="1"/>
  <c r="U32" i="47" s="1"/>
  <c r="W32" i="47" s="1"/>
  <c r="X32" i="47" s="1"/>
  <c r="Y32" i="47" s="1"/>
  <c r="Z32" i="47" s="1"/>
  <c r="AA32" i="47" s="1"/>
  <c r="Q32" i="47"/>
  <c r="P32" i="47" s="1"/>
  <c r="S29" i="47"/>
  <c r="T29" i="47" s="1"/>
  <c r="U29" i="47" s="1"/>
  <c r="W29" i="47" s="1"/>
  <c r="X29" i="47" s="1"/>
  <c r="Y29" i="47" s="1"/>
  <c r="Z29" i="47" s="1"/>
  <c r="AA29" i="47" s="1"/>
  <c r="Q29" i="47"/>
  <c r="P29" i="47"/>
  <c r="S26" i="47"/>
  <c r="T26" i="47" s="1"/>
  <c r="U26" i="47" s="1"/>
  <c r="W26" i="47" s="1"/>
  <c r="X26" i="47" s="1"/>
  <c r="Y26" i="47" s="1"/>
  <c r="Z26" i="47" s="1"/>
  <c r="AA26" i="47" s="1"/>
  <c r="Q26" i="47"/>
  <c r="P26" i="47" s="1"/>
  <c r="S23" i="47"/>
  <c r="T23" i="47" s="1"/>
  <c r="U23" i="47" s="1"/>
  <c r="W23" i="47" s="1"/>
  <c r="X23" i="47" s="1"/>
  <c r="Y23" i="47" s="1"/>
  <c r="Z23" i="47" s="1"/>
  <c r="AA23" i="47" s="1"/>
  <c r="Q23" i="47"/>
  <c r="P23" i="47" s="1"/>
  <c r="S20" i="47"/>
  <c r="T20" i="47" s="1"/>
  <c r="U20" i="47" s="1"/>
  <c r="W20" i="47" s="1"/>
  <c r="X20" i="47" s="1"/>
  <c r="Y20" i="47" s="1"/>
  <c r="Z20" i="47" s="1"/>
  <c r="AA20" i="47" s="1"/>
  <c r="Q20" i="47"/>
  <c r="P20" i="47"/>
  <c r="S17" i="47"/>
  <c r="T17" i="47" s="1"/>
  <c r="U17" i="47" s="1"/>
  <c r="W17" i="47" s="1"/>
  <c r="X17" i="47" s="1"/>
  <c r="Y17" i="47" s="1"/>
  <c r="Z17" i="47" s="1"/>
  <c r="AA17" i="47" s="1"/>
  <c r="Q17" i="47"/>
  <c r="P17" i="47" s="1"/>
  <c r="G266" i="47"/>
  <c r="D7" i="31"/>
  <c r="H88" i="30"/>
  <c r="D6" i="31" s="1"/>
  <c r="J259" i="49"/>
  <c r="J258" i="49"/>
  <c r="G258" i="49" s="1"/>
  <c r="G261" i="49" s="1"/>
  <c r="G257" i="49"/>
  <c r="H257" i="49"/>
  <c r="I257" i="49"/>
  <c r="G256" i="49"/>
  <c r="G259" i="49" s="1"/>
  <c r="H256" i="49"/>
  <c r="H259" i="49" s="1"/>
  <c r="I256" i="49"/>
  <c r="I259" i="49" s="1"/>
  <c r="K114" i="34"/>
  <c r="F108" i="34"/>
  <c r="G107" i="34"/>
  <c r="G108" i="34" s="1"/>
  <c r="F110" i="34"/>
  <c r="F111" i="34" s="1"/>
  <c r="F117" i="34"/>
  <c r="G19" i="11"/>
  <c r="G22" i="11" s="1"/>
  <c r="G16" i="11"/>
  <c r="J19" i="11" l="1"/>
  <c r="I19" i="11" s="1"/>
  <c r="H19" i="11" s="1"/>
  <c r="J261" i="49"/>
  <c r="H258" i="49"/>
  <c r="H261" i="49" s="1"/>
  <c r="I258" i="49"/>
  <c r="I261" i="49" s="1"/>
  <c r="G110" i="34"/>
  <c r="G111" i="34" s="1"/>
  <c r="H107" i="34"/>
  <c r="G58" i="11"/>
  <c r="H110" i="34" l="1"/>
  <c r="I110" i="34" s="1"/>
  <c r="I111" i="34" s="1"/>
  <c r="H111" i="34"/>
  <c r="I107" i="34"/>
  <c r="I108" i="34" s="1"/>
  <c r="H108" i="34"/>
  <c r="I186" i="49"/>
  <c r="I187" i="49" s="1"/>
  <c r="I188" i="49" s="1"/>
  <c r="G186" i="49"/>
  <c r="G187" i="49" s="1"/>
  <c r="G188" i="49" s="1"/>
  <c r="H186" i="49"/>
  <c r="H187" i="49" s="1"/>
  <c r="H188" i="49" s="1"/>
  <c r="J196" i="49"/>
  <c r="J153" i="49"/>
  <c r="E12" i="37"/>
  <c r="F12" i="37"/>
  <c r="D12" i="37"/>
  <c r="D8" i="37"/>
  <c r="E6" i="37"/>
  <c r="F6" i="37"/>
  <c r="D6" i="37"/>
  <c r="E5" i="37"/>
  <c r="F5" i="37"/>
  <c r="D5" i="37"/>
  <c r="E4" i="37"/>
  <c r="E7" i="37" s="1"/>
  <c r="E9" i="37" s="1"/>
  <c r="F4" i="37"/>
  <c r="D4" i="37"/>
  <c r="S25" i="36"/>
  <c r="T25" i="36"/>
  <c r="U25" i="36"/>
  <c r="R25" i="36"/>
  <c r="S10" i="36"/>
  <c r="T10" i="36"/>
  <c r="U10" i="36"/>
  <c r="R10" i="36"/>
  <c r="E33" i="66"/>
  <c r="F33" i="66"/>
  <c r="G33" i="66"/>
  <c r="H33" i="66"/>
  <c r="I33" i="66"/>
  <c r="J33" i="66"/>
  <c r="K33" i="66"/>
  <c r="L33" i="66"/>
  <c r="M33" i="66"/>
  <c r="N33" i="66"/>
  <c r="O33" i="66"/>
  <c r="P33" i="66"/>
  <c r="Q33" i="66"/>
  <c r="R33" i="66"/>
  <c r="S33" i="66"/>
  <c r="T33" i="66"/>
  <c r="U33" i="66"/>
  <c r="V33" i="66"/>
  <c r="W33" i="66"/>
  <c r="X33" i="66"/>
  <c r="E28" i="66"/>
  <c r="F28" i="66"/>
  <c r="G28" i="66"/>
  <c r="H28" i="66"/>
  <c r="I28" i="66"/>
  <c r="J28" i="66"/>
  <c r="K28" i="66"/>
  <c r="L28" i="66"/>
  <c r="M28" i="66"/>
  <c r="N28" i="66"/>
  <c r="O28" i="66"/>
  <c r="P28" i="66"/>
  <c r="Q28" i="66"/>
  <c r="R28" i="66"/>
  <c r="S28" i="66"/>
  <c r="T28" i="66"/>
  <c r="U28" i="66"/>
  <c r="V28" i="66"/>
  <c r="W28" i="66"/>
  <c r="H22" i="66"/>
  <c r="I22" i="66"/>
  <c r="L22" i="66"/>
  <c r="P22" i="66"/>
  <c r="Q22" i="66"/>
  <c r="T22" i="66"/>
  <c r="E20" i="66"/>
  <c r="E22" i="66" s="1"/>
  <c r="F20" i="66"/>
  <c r="F22" i="66" s="1"/>
  <c r="G20" i="66"/>
  <c r="G22" i="66" s="1"/>
  <c r="H20" i="66"/>
  <c r="I20" i="66"/>
  <c r="J20" i="66"/>
  <c r="J22" i="66" s="1"/>
  <c r="K20" i="66"/>
  <c r="K22" i="66" s="1"/>
  <c r="L20" i="66"/>
  <c r="M20" i="66"/>
  <c r="M22" i="66" s="1"/>
  <c r="N20" i="66"/>
  <c r="N22" i="66" s="1"/>
  <c r="O20" i="66"/>
  <c r="O22" i="66" s="1"/>
  <c r="P20" i="66"/>
  <c r="Q20" i="66"/>
  <c r="R20" i="66"/>
  <c r="R22" i="66" s="1"/>
  <c r="S20" i="66"/>
  <c r="S22" i="66" s="1"/>
  <c r="T20" i="66"/>
  <c r="U20" i="66"/>
  <c r="U22" i="66" s="1"/>
  <c r="V20" i="66"/>
  <c r="V22" i="66" s="1"/>
  <c r="W20" i="66"/>
  <c r="W22" i="66" s="1"/>
  <c r="K14" i="66"/>
  <c r="S14" i="66"/>
  <c r="E9" i="66"/>
  <c r="S9" i="36" s="1"/>
  <c r="S11" i="36" s="1"/>
  <c r="F9" i="66"/>
  <c r="T9" i="36" s="1"/>
  <c r="T11" i="36" s="1"/>
  <c r="G9" i="66"/>
  <c r="U9" i="36" s="1"/>
  <c r="U11" i="36" s="1"/>
  <c r="H9" i="66"/>
  <c r="H14" i="66" s="1"/>
  <c r="I9" i="66"/>
  <c r="I14" i="66" s="1"/>
  <c r="J9" i="66"/>
  <c r="J14" i="66" s="1"/>
  <c r="K9" i="66"/>
  <c r="L9" i="66"/>
  <c r="L14" i="66" s="1"/>
  <c r="L23" i="66" s="1"/>
  <c r="M9" i="66"/>
  <c r="M14" i="66" s="1"/>
  <c r="N9" i="66"/>
  <c r="N14" i="66" s="1"/>
  <c r="N23" i="66" s="1"/>
  <c r="O9" i="66"/>
  <c r="O14" i="66" s="1"/>
  <c r="O23" i="66" s="1"/>
  <c r="P9" i="66"/>
  <c r="P14" i="66" s="1"/>
  <c r="Q9" i="66"/>
  <c r="Q14" i="66" s="1"/>
  <c r="R9" i="66"/>
  <c r="R14" i="66" s="1"/>
  <c r="S9" i="66"/>
  <c r="T9" i="66"/>
  <c r="T14" i="66" s="1"/>
  <c r="T23" i="66" s="1"/>
  <c r="U9" i="66"/>
  <c r="U14" i="66" s="1"/>
  <c r="V9" i="66"/>
  <c r="V14" i="66" s="1"/>
  <c r="V23" i="66" s="1"/>
  <c r="W9" i="66"/>
  <c r="W14" i="66" s="1"/>
  <c r="W23" i="66" s="1"/>
  <c r="D56" i="66"/>
  <c r="G45" i="66"/>
  <c r="G51" i="66" s="1"/>
  <c r="F45" i="66"/>
  <c r="F44" i="66" s="1"/>
  <c r="E45" i="66"/>
  <c r="E51" i="66" s="1"/>
  <c r="D45" i="66"/>
  <c r="D44" i="66" s="1"/>
  <c r="E44" i="66"/>
  <c r="G41" i="66"/>
  <c r="U13" i="36" s="1"/>
  <c r="F41" i="66"/>
  <c r="T13" i="36" s="1"/>
  <c r="E41" i="66"/>
  <c r="S13" i="36" s="1"/>
  <c r="D41" i="66"/>
  <c r="R13" i="36" s="1"/>
  <c r="G36" i="66"/>
  <c r="F11" i="37" s="1"/>
  <c r="F36" i="66"/>
  <c r="E11" i="37" s="1"/>
  <c r="E36" i="66"/>
  <c r="D11" i="37" s="1"/>
  <c r="D36" i="66"/>
  <c r="D33" i="66"/>
  <c r="D28" i="66"/>
  <c r="D20" i="66"/>
  <c r="D22" i="66" s="1"/>
  <c r="G13" i="66"/>
  <c r="F13" i="66"/>
  <c r="F14" i="66" s="1"/>
  <c r="F23" i="66" s="1"/>
  <c r="E13" i="66"/>
  <c r="D13" i="66"/>
  <c r="D9" i="66"/>
  <c r="R9" i="36" s="1"/>
  <c r="U23" i="66" l="1"/>
  <c r="M23" i="66"/>
  <c r="I23" i="66"/>
  <c r="P23" i="66"/>
  <c r="H23" i="66"/>
  <c r="G14" i="66"/>
  <c r="G23" i="66" s="1"/>
  <c r="D57" i="66"/>
  <c r="Q23" i="66"/>
  <c r="G57" i="66"/>
  <c r="U8" i="36" s="1"/>
  <c r="F7" i="37"/>
  <c r="F9" i="37" s="1"/>
  <c r="J23" i="66"/>
  <c r="S23" i="66"/>
  <c r="R23" i="66"/>
  <c r="K23" i="66"/>
  <c r="E14" i="66"/>
  <c r="E23" i="66" s="1"/>
  <c r="E52" i="66"/>
  <c r="G44" i="66"/>
  <c r="D51" i="66"/>
  <c r="D52" i="66" s="1"/>
  <c r="F57" i="66"/>
  <c r="T8" i="36" s="1"/>
  <c r="G52" i="66"/>
  <c r="F51" i="66"/>
  <c r="D14" i="66"/>
  <c r="D23" i="66" s="1"/>
  <c r="E57" i="66"/>
  <c r="S8" i="36" s="1"/>
  <c r="F52" i="66" l="1"/>
  <c r="J202" i="49"/>
  <c r="F103" i="34"/>
  <c r="M127" i="30"/>
  <c r="J195" i="49"/>
  <c r="H195" i="49" s="1"/>
  <c r="M33" i="30"/>
  <c r="I195" i="49" l="1"/>
  <c r="G195" i="49"/>
  <c r="R26" i="36"/>
  <c r="R22" i="36"/>
  <c r="S14" i="36"/>
  <c r="S22" i="36" s="1"/>
  <c r="T14" i="36"/>
  <c r="U14" i="36"/>
  <c r="R14" i="36"/>
  <c r="R23" i="36" s="1"/>
  <c r="G5" i="37"/>
  <c r="G6" i="37"/>
  <c r="G8" i="37"/>
  <c r="G12" i="37"/>
  <c r="R17" i="36" l="1"/>
  <c r="R20" i="36"/>
  <c r="T17" i="36"/>
  <c r="S20" i="36"/>
  <c r="T24" i="36" l="1"/>
  <c r="U17" i="36"/>
  <c r="T12" i="36" l="1"/>
  <c r="T26" i="36"/>
  <c r="T23" i="36"/>
  <c r="E15" i="37"/>
  <c r="E17" i="37" s="1"/>
  <c r="U26" i="36"/>
  <c r="S17" i="36"/>
  <c r="U24" i="36"/>
  <c r="U12" i="36"/>
  <c r="S24" i="36" l="1"/>
  <c r="S12" i="36"/>
  <c r="U23" i="36"/>
  <c r="S26" i="36"/>
  <c r="S23" i="36" l="1"/>
  <c r="G11" i="37"/>
  <c r="F15" i="37"/>
  <c r="F17" i="37" l="1"/>
  <c r="H13" i="62" l="1"/>
  <c r="G13" i="62"/>
  <c r="F34" i="44"/>
  <c r="J18" i="35"/>
  <c r="L18" i="35"/>
  <c r="L20" i="35" s="1"/>
  <c r="M27" i="37"/>
  <c r="M28" i="37"/>
  <c r="M26" i="37"/>
  <c r="K20" i="37"/>
  <c r="H157" i="30"/>
  <c r="H156" i="30"/>
  <c r="I156" i="30" s="1"/>
  <c r="K158" i="30"/>
  <c r="K159" i="30"/>
  <c r="K155" i="30"/>
  <c r="I137" i="30"/>
  <c r="K137" i="30"/>
  <c r="M137" i="30"/>
  <c r="J156" i="30" l="1"/>
  <c r="J157" i="30" s="1"/>
  <c r="I157" i="30"/>
  <c r="K157" i="30" s="1"/>
  <c r="O37" i="44"/>
  <c r="P37" i="44" s="1"/>
  <c r="Q37" i="44" s="1"/>
  <c r="R37" i="44" s="1"/>
  <c r="S37" i="44" s="1"/>
  <c r="U37" i="44" s="1"/>
  <c r="V37" i="44" s="1"/>
  <c r="W37" i="44" s="1"/>
  <c r="X37" i="44" s="1"/>
  <c r="Y37" i="44" s="1"/>
  <c r="O31" i="44"/>
  <c r="P31" i="44" s="1"/>
  <c r="Q31" i="44" s="1"/>
  <c r="R31" i="44" s="1"/>
  <c r="S31" i="44" s="1"/>
  <c r="U31" i="44" s="1"/>
  <c r="V31" i="44" s="1"/>
  <c r="W31" i="44" s="1"/>
  <c r="X31" i="44" s="1"/>
  <c r="Y31" i="44" s="1"/>
  <c r="O28" i="44"/>
  <c r="P28" i="44" s="1"/>
  <c r="Q28" i="44" s="1"/>
  <c r="R28" i="44" s="1"/>
  <c r="S28" i="44" s="1"/>
  <c r="U28" i="44" s="1"/>
  <c r="V28" i="44" s="1"/>
  <c r="W28" i="44" s="1"/>
  <c r="X28" i="44" s="1"/>
  <c r="Y28" i="44" s="1"/>
  <c r="O25" i="44"/>
  <c r="P25" i="44" s="1"/>
  <c r="Q25" i="44" s="1"/>
  <c r="R25" i="44" s="1"/>
  <c r="S25" i="44" s="1"/>
  <c r="U25" i="44" s="1"/>
  <c r="V25" i="44" s="1"/>
  <c r="W25" i="44" s="1"/>
  <c r="X25" i="44" s="1"/>
  <c r="Y25" i="44" s="1"/>
  <c r="O22" i="44"/>
  <c r="P22" i="44" s="1"/>
  <c r="Q22" i="44" s="1"/>
  <c r="R22" i="44" s="1"/>
  <c r="S22" i="44" s="1"/>
  <c r="U22" i="44" s="1"/>
  <c r="V22" i="44" s="1"/>
  <c r="W22" i="44" s="1"/>
  <c r="X22" i="44" s="1"/>
  <c r="Y22" i="44" s="1"/>
  <c r="O19" i="44"/>
  <c r="P19" i="44" s="1"/>
  <c r="Q19" i="44" s="1"/>
  <c r="R19" i="44" s="1"/>
  <c r="S19" i="44" s="1"/>
  <c r="U19" i="44" s="1"/>
  <c r="V19" i="44" s="1"/>
  <c r="W19" i="44" s="1"/>
  <c r="X19" i="44" s="1"/>
  <c r="Y19" i="44" s="1"/>
  <c r="H19" i="44"/>
  <c r="H22" i="44"/>
  <c r="H25" i="44"/>
  <c r="H28" i="44"/>
  <c r="H31" i="44"/>
  <c r="H34" i="44"/>
  <c r="H37" i="44"/>
  <c r="H40" i="44"/>
  <c r="H43" i="44"/>
  <c r="K156" i="30" l="1"/>
  <c r="L14" i="51"/>
  <c r="M14" i="51"/>
  <c r="K14" i="51"/>
  <c r="N9" i="51"/>
  <c r="N10" i="51"/>
  <c r="N11" i="51"/>
  <c r="N12" i="51"/>
  <c r="N13" i="51"/>
  <c r="N8" i="51"/>
  <c r="N14" i="51" s="1"/>
  <c r="Z241" i="47" l="1"/>
  <c r="AA241" i="47" s="1"/>
  <c r="AA240" i="47"/>
  <c r="Q242" i="47"/>
  <c r="U240" i="47"/>
  <c r="Q240" i="47"/>
  <c r="Z212" i="47"/>
  <c r="AA22" i="28"/>
  <c r="Q23" i="28"/>
  <c r="AA19" i="28"/>
  <c r="AA22" i="10" l="1"/>
  <c r="AA21" i="10"/>
  <c r="U21" i="10"/>
  <c r="Q21" i="10"/>
  <c r="P21" i="10" s="1"/>
  <c r="AA19" i="10"/>
  <c r="H52" i="11" l="1"/>
  <c r="I52" i="11" s="1"/>
  <c r="J49" i="11"/>
  <c r="H49" i="11" s="1"/>
  <c r="I49" i="11" s="1"/>
  <c r="J52" i="11"/>
  <c r="J55" i="11"/>
  <c r="H55" i="11" s="1"/>
  <c r="I55" i="11" s="1"/>
  <c r="J46" i="11"/>
  <c r="H46" i="11" s="1"/>
  <c r="I46" i="11" s="1"/>
  <c r="H38" i="11"/>
  <c r="J29" i="11"/>
  <c r="H29" i="11" s="1"/>
  <c r="J32" i="11"/>
  <c r="H32" i="11" s="1"/>
  <c r="J35" i="11"/>
  <c r="H35" i="11" s="1"/>
  <c r="J38" i="11"/>
  <c r="J41" i="11"/>
  <c r="H41" i="11" s="1"/>
  <c r="J26" i="11"/>
  <c r="H26" i="11" s="1"/>
  <c r="I26" i="11" s="1"/>
  <c r="G44" i="11"/>
  <c r="G59" i="11" l="1"/>
  <c r="E260" i="47" s="1"/>
  <c r="G69" i="11"/>
  <c r="J58" i="11"/>
  <c r="J44" i="11"/>
  <c r="F6" i="13"/>
  <c r="F7" i="13"/>
  <c r="F9" i="13"/>
  <c r="E22" i="13"/>
  <c r="F22" i="13" s="1"/>
  <c r="E21" i="13"/>
  <c r="E18" i="13"/>
  <c r="F18" i="13" s="1"/>
  <c r="E17" i="13"/>
  <c r="E16" i="13"/>
  <c r="F16" i="13" s="1"/>
  <c r="E12" i="13"/>
  <c r="E13" i="13" s="1"/>
  <c r="E9" i="13"/>
  <c r="E8" i="13"/>
  <c r="E10" i="13" s="1"/>
  <c r="E5" i="13"/>
  <c r="E7" i="13"/>
  <c r="E14" i="13"/>
  <c r="H46" i="13"/>
  <c r="H28" i="13"/>
  <c r="H20" i="13"/>
  <c r="H14" i="13"/>
  <c r="H11" i="13"/>
  <c r="K7" i="13"/>
  <c r="K6" i="13"/>
  <c r="K5" i="13"/>
  <c r="I2" i="13"/>
  <c r="J33" i="35"/>
  <c r="J27" i="35"/>
  <c r="I24" i="35"/>
  <c r="H24" i="35" s="1"/>
  <c r="G23" i="35"/>
  <c r="J15" i="35"/>
  <c r="I12" i="35"/>
  <c r="H12" i="35" s="1"/>
  <c r="I11" i="35"/>
  <c r="G11" i="35" s="1"/>
  <c r="AA204" i="47"/>
  <c r="AA203" i="47"/>
  <c r="Q205" i="47"/>
  <c r="U203" i="47"/>
  <c r="S203" i="47"/>
  <c r="Q203" i="47"/>
  <c r="G61" i="11"/>
  <c r="I65" i="11"/>
  <c r="AA26" i="11"/>
  <c r="R26" i="11"/>
  <c r="S26" i="11" s="1"/>
  <c r="T26" i="11" s="1"/>
  <c r="V26" i="11" s="1"/>
  <c r="W26" i="11" s="1"/>
  <c r="J16" i="11"/>
  <c r="I16" i="11" s="1"/>
  <c r="H16" i="11" s="1"/>
  <c r="R13" i="11"/>
  <c r="S13" i="11" s="1"/>
  <c r="T13" i="11" s="1"/>
  <c r="V13" i="11" s="1"/>
  <c r="W13" i="11" s="1"/>
  <c r="X13" i="11" s="1"/>
  <c r="Z13" i="11" s="1"/>
  <c r="P13" i="11"/>
  <c r="O13" i="11" s="1"/>
  <c r="J13" i="11"/>
  <c r="G18" i="13" l="1"/>
  <c r="H18" i="13" s="1"/>
  <c r="D18" i="13"/>
  <c r="G16" i="13"/>
  <c r="G22" i="13"/>
  <c r="H22" i="13" s="1"/>
  <c r="D22" i="13"/>
  <c r="I13" i="11"/>
  <c r="I22" i="11" s="1"/>
  <c r="J22" i="11"/>
  <c r="J59" i="11" s="1"/>
  <c r="E23" i="13"/>
  <c r="G9" i="13"/>
  <c r="H9" i="13" s="1"/>
  <c r="F5" i="13"/>
  <c r="F8" i="13"/>
  <c r="G8" i="13" s="1"/>
  <c r="D8" i="13"/>
  <c r="D16" i="13"/>
  <c r="G7" i="13"/>
  <c r="H7" i="13" s="1"/>
  <c r="F17" i="13"/>
  <c r="G17" i="13" s="1"/>
  <c r="E19" i="13"/>
  <c r="E24" i="13" s="1"/>
  <c r="G6" i="13"/>
  <c r="H6" i="13" s="1"/>
  <c r="F21" i="13"/>
  <c r="F12" i="13"/>
  <c r="H58" i="11"/>
  <c r="I58" i="11"/>
  <c r="J61" i="11"/>
  <c r="G24" i="35"/>
  <c r="F24" i="35"/>
  <c r="F23" i="35"/>
  <c r="H11" i="35"/>
  <c r="F12" i="35"/>
  <c r="F11" i="35"/>
  <c r="G12" i="35"/>
  <c r="H13" i="11"/>
  <c r="H22" i="11" s="1"/>
  <c r="F23" i="13" l="1"/>
  <c r="G21" i="13"/>
  <c r="F10" i="13"/>
  <c r="G5" i="13"/>
  <c r="D9" i="13"/>
  <c r="H16" i="13"/>
  <c r="G19" i="13"/>
  <c r="H19" i="13" s="1"/>
  <c r="D17" i="13"/>
  <c r="F19" i="13"/>
  <c r="D7" i="13"/>
  <c r="D5" i="13"/>
  <c r="D19" i="13"/>
  <c r="D6" i="13"/>
  <c r="G65" i="11"/>
  <c r="G67" i="11"/>
  <c r="G12" i="13"/>
  <c r="D12" i="13" s="1"/>
  <c r="D13" i="13" s="1"/>
  <c r="F13" i="13"/>
  <c r="F24" i="13" s="1"/>
  <c r="H21" i="13" l="1"/>
  <c r="G23" i="13"/>
  <c r="H23" i="13" s="1"/>
  <c r="D10" i="13"/>
  <c r="D21" i="13"/>
  <c r="D23" i="13" s="1"/>
  <c r="D24" i="13" s="1"/>
  <c r="H5" i="13"/>
  <c r="G10" i="13"/>
  <c r="H10" i="13" s="1"/>
  <c r="H12" i="13"/>
  <c r="G13" i="13"/>
  <c r="O49" i="34"/>
  <c r="N49" i="34"/>
  <c r="N50" i="34" s="1"/>
  <c r="P47" i="34"/>
  <c r="P48" i="34"/>
  <c r="P46" i="34"/>
  <c r="J346" i="49"/>
  <c r="O351" i="49"/>
  <c r="N351" i="49"/>
  <c r="M351" i="49"/>
  <c r="M45" i="57"/>
  <c r="N45" i="57"/>
  <c r="I44" i="57"/>
  <c r="J44" i="57"/>
  <c r="K44" i="57"/>
  <c r="L44" i="57"/>
  <c r="O42" i="57"/>
  <c r="O43" i="57"/>
  <c r="I39" i="57"/>
  <c r="J39" i="57"/>
  <c r="K39" i="57"/>
  <c r="L39" i="57"/>
  <c r="O36" i="57"/>
  <c r="O37" i="57"/>
  <c r="O38" i="57"/>
  <c r="I33" i="57"/>
  <c r="J33" i="57"/>
  <c r="K33" i="57"/>
  <c r="L33" i="57"/>
  <c r="J30" i="57"/>
  <c r="K30" i="57"/>
  <c r="L30" i="57"/>
  <c r="K27" i="57"/>
  <c r="L27" i="57"/>
  <c r="O26" i="57"/>
  <c r="J23" i="57"/>
  <c r="K23" i="57"/>
  <c r="L23" i="57"/>
  <c r="O22" i="57"/>
  <c r="J19" i="57"/>
  <c r="K19" i="57"/>
  <c r="L19" i="57"/>
  <c r="O18" i="57"/>
  <c r="J15" i="57"/>
  <c r="J45" i="57" s="1"/>
  <c r="K15" i="57"/>
  <c r="L15" i="57"/>
  <c r="L45" i="57" s="1"/>
  <c r="O13" i="57"/>
  <c r="O14" i="57"/>
  <c r="J10" i="57"/>
  <c r="K10" i="57"/>
  <c r="K45" i="57" s="1"/>
  <c r="L10" i="57"/>
  <c r="O6" i="57"/>
  <c r="O7" i="57"/>
  <c r="O8" i="57"/>
  <c r="O9" i="57"/>
  <c r="J345" i="49"/>
  <c r="O46" i="57"/>
  <c r="O41" i="57"/>
  <c r="O35" i="57"/>
  <c r="O32" i="57"/>
  <c r="O33" i="57" s="1"/>
  <c r="O30" i="57"/>
  <c r="I30" i="57"/>
  <c r="O29" i="57"/>
  <c r="O25" i="57"/>
  <c r="I23" i="57"/>
  <c r="I45" i="57" s="1"/>
  <c r="O21" i="57"/>
  <c r="O17" i="57"/>
  <c r="O15" i="57"/>
  <c r="O12" i="57"/>
  <c r="G10" i="57"/>
  <c r="O5" i="57"/>
  <c r="M46" i="56"/>
  <c r="M43" i="56"/>
  <c r="M42" i="56"/>
  <c r="M41" i="56"/>
  <c r="M38" i="56"/>
  <c r="M37" i="56"/>
  <c r="M36" i="56"/>
  <c r="M35" i="56"/>
  <c r="M32" i="56"/>
  <c r="M33" i="56" s="1"/>
  <c r="M29" i="56"/>
  <c r="M30" i="56" s="1"/>
  <c r="M26" i="56"/>
  <c r="M25" i="56"/>
  <c r="M22" i="56"/>
  <c r="M21" i="56"/>
  <c r="M18" i="56"/>
  <c r="M17" i="56"/>
  <c r="M14" i="56"/>
  <c r="M13" i="56"/>
  <c r="M12" i="56"/>
  <c r="M9" i="56"/>
  <c r="M8" i="56"/>
  <c r="M7" i="56"/>
  <c r="M6" i="56"/>
  <c r="M5" i="56"/>
  <c r="P49" i="34" l="1"/>
  <c r="Q50" i="34" s="1"/>
  <c r="J347" i="49"/>
  <c r="H13" i="13"/>
  <c r="G24" i="13"/>
  <c r="M23" i="56"/>
  <c r="M27" i="56"/>
  <c r="M19" i="56"/>
  <c r="M44" i="56"/>
  <c r="M10" i="56"/>
  <c r="O44" i="57"/>
  <c r="O39" i="57"/>
  <c r="I47" i="57"/>
  <c r="O27" i="57"/>
  <c r="O23" i="57"/>
  <c r="K47" i="57"/>
  <c r="L47" i="57"/>
  <c r="J47" i="57"/>
  <c r="O19" i="57"/>
  <c r="O10" i="57"/>
  <c r="M39" i="56"/>
  <c r="M15" i="56"/>
  <c r="P50" i="34" l="1"/>
  <c r="I27" i="13"/>
  <c r="H29" i="13"/>
  <c r="H26" i="13" s="1"/>
  <c r="H24" i="13"/>
  <c r="G26" i="13"/>
  <c r="M45" i="56"/>
  <c r="O45" i="57"/>
  <c r="Q47" i="57" s="1"/>
  <c r="L49" i="57"/>
  <c r="Q213" i="47"/>
  <c r="AC209" i="47"/>
  <c r="W244" i="47"/>
  <c r="X244" i="47"/>
  <c r="Y244" i="47"/>
  <c r="Z244" i="47"/>
  <c r="AA244" i="47"/>
  <c r="AB243" i="47"/>
  <c r="V243" i="47"/>
  <c r="V224" i="47"/>
  <c r="V219" i="47"/>
  <c r="L243" i="47"/>
  <c r="AC236" i="47"/>
  <c r="AC237" i="47"/>
  <c r="AC238" i="47"/>
  <c r="AC235" i="47"/>
  <c r="AC239" i="47" s="1"/>
  <c r="Q231" i="47"/>
  <c r="AA230" i="47"/>
  <c r="AA229" i="47"/>
  <c r="Q229" i="47"/>
  <c r="Q228" i="47"/>
  <c r="Q226" i="47"/>
  <c r="Q223" i="47"/>
  <c r="AA222" i="47"/>
  <c r="AA221" i="47"/>
  <c r="U221" i="47"/>
  <c r="Q221" i="47"/>
  <c r="R221" i="47" s="1"/>
  <c r="Q218" i="47"/>
  <c r="Q239" i="47"/>
  <c r="AA238" i="47"/>
  <c r="AA237" i="47"/>
  <c r="U237" i="47"/>
  <c r="Q237" i="47"/>
  <c r="R237" i="47" s="1"/>
  <c r="Q236" i="47"/>
  <c r="AA235" i="47"/>
  <c r="AA234" i="47"/>
  <c r="U234" i="47"/>
  <c r="Q234" i="47"/>
  <c r="R234" i="47" s="1"/>
  <c r="Q210" i="47"/>
  <c r="AC199" i="47"/>
  <c r="AC182" i="47"/>
  <c r="AC183" i="47"/>
  <c r="AC184" i="47"/>
  <c r="AC185" i="47"/>
  <c r="AC186" i="47"/>
  <c r="AC187" i="47"/>
  <c r="AC188" i="47"/>
  <c r="AC189" i="47"/>
  <c r="AC190" i="47"/>
  <c r="AC191" i="47"/>
  <c r="AC192" i="47"/>
  <c r="AC193" i="47"/>
  <c r="AC194" i="47"/>
  <c r="AC195" i="47"/>
  <c r="AC196" i="47"/>
  <c r="AC197" i="47"/>
  <c r="AC198" i="47"/>
  <c r="AC200" i="47"/>
  <c r="AC181" i="47"/>
  <c r="M47" i="56" l="1"/>
  <c r="E262" i="47"/>
  <c r="O47" i="57"/>
  <c r="Q51" i="57" s="1"/>
  <c r="AC201" i="47"/>
  <c r="Q197" i="47" l="1"/>
  <c r="AA196" i="47"/>
  <c r="AA195" i="47"/>
  <c r="U195" i="47"/>
  <c r="Q195" i="47"/>
  <c r="R195" i="47" s="1"/>
  <c r="S195" i="47" s="1"/>
  <c r="Q194" i="47"/>
  <c r="AA193" i="47"/>
  <c r="AA192" i="47"/>
  <c r="U192" i="47"/>
  <c r="Q192" i="47"/>
  <c r="R192" i="47" s="1"/>
  <c r="S192" i="47" s="1"/>
  <c r="Q191" i="47"/>
  <c r="AA190" i="47"/>
  <c r="AA189" i="47"/>
  <c r="U189" i="47"/>
  <c r="Q189" i="47"/>
  <c r="R189" i="47" s="1"/>
  <c r="S189" i="47" s="1"/>
  <c r="Q188" i="47"/>
  <c r="AA187" i="47"/>
  <c r="AA186" i="47"/>
  <c r="U186" i="47"/>
  <c r="Q186" i="47"/>
  <c r="R186" i="47" s="1"/>
  <c r="S186" i="47" s="1"/>
  <c r="Q185" i="47"/>
  <c r="Q182" i="47"/>
  <c r="AA180" i="47"/>
  <c r="U180" i="47"/>
  <c r="S180" i="47"/>
  <c r="Q180" i="47"/>
  <c r="S158" i="47"/>
  <c r="T158" i="47" s="1"/>
  <c r="U158" i="47" s="1"/>
  <c r="W158" i="47" s="1"/>
  <c r="X158" i="47" s="1"/>
  <c r="Y158" i="47" s="1"/>
  <c r="Z158" i="47" s="1"/>
  <c r="AA158" i="47" s="1"/>
  <c r="Q158" i="47"/>
  <c r="P158" i="47" s="1"/>
  <c r="J333" i="49" l="1"/>
  <c r="J330" i="49"/>
  <c r="F322" i="49"/>
  <c r="G142" i="47"/>
  <c r="H14" i="47"/>
  <c r="F153" i="34" l="1"/>
  <c r="G155" i="34"/>
  <c r="H155" i="34"/>
  <c r="I155" i="34"/>
  <c r="L155" i="34"/>
  <c r="M155" i="34"/>
  <c r="E155" i="34"/>
  <c r="F154" i="34"/>
  <c r="J154" i="34" s="1"/>
  <c r="C67" i="65"/>
  <c r="G67" i="65"/>
  <c r="F73" i="65"/>
  <c r="G75" i="65"/>
  <c r="J75" i="65"/>
  <c r="J76" i="65" s="1"/>
  <c r="R23" i="65"/>
  <c r="R24" i="65" s="1"/>
  <c r="R25" i="65" s="1"/>
  <c r="P21" i="65"/>
  <c r="P22" i="65" s="1"/>
  <c r="R15" i="65"/>
  <c r="I30" i="35"/>
  <c r="I31" i="35"/>
  <c r="H31" i="35" s="1"/>
  <c r="I32" i="35"/>
  <c r="F32" i="35" s="1"/>
  <c r="I29" i="35"/>
  <c r="F29" i="35" s="1"/>
  <c r="I22" i="35"/>
  <c r="I25" i="35"/>
  <c r="H25" i="35" s="1"/>
  <c r="I26" i="35"/>
  <c r="H26" i="35" s="1"/>
  <c r="I21" i="35"/>
  <c r="H21" i="35" s="1"/>
  <c r="I18" i="35"/>
  <c r="I19" i="35" s="1"/>
  <c r="I17" i="35"/>
  <c r="G17" i="35" s="1"/>
  <c r="I9" i="35"/>
  <c r="G9" i="35" s="1"/>
  <c r="I10" i="35"/>
  <c r="H10" i="35" s="1"/>
  <c r="I14" i="35"/>
  <c r="H14" i="35" s="1"/>
  <c r="I6" i="35"/>
  <c r="F6" i="35" s="1"/>
  <c r="L3" i="35"/>
  <c r="I27" i="28"/>
  <c r="K27" i="28"/>
  <c r="L27" i="28"/>
  <c r="H27" i="28"/>
  <c r="Q26" i="28"/>
  <c r="R26" i="28" s="1"/>
  <c r="S26" i="28" s="1"/>
  <c r="T26" i="28" s="1"/>
  <c r="U26" i="28" s="1"/>
  <c r="W26" i="28" s="1"/>
  <c r="X26" i="28" s="1"/>
  <c r="Y26" i="28" s="1"/>
  <c r="AA25" i="28"/>
  <c r="Q24" i="28"/>
  <c r="R24" i="28" s="1"/>
  <c r="S24" i="28" s="1"/>
  <c r="T24" i="28" s="1"/>
  <c r="U24" i="28" s="1"/>
  <c r="W24" i="28" s="1"/>
  <c r="X24" i="28" s="1"/>
  <c r="Y24" i="28" s="1"/>
  <c r="Z24" i="28" s="1"/>
  <c r="AA24" i="28" s="1"/>
  <c r="J24" i="28"/>
  <c r="Q21" i="28"/>
  <c r="R21" i="28" s="1"/>
  <c r="U21" i="28" s="1"/>
  <c r="AA21" i="28" s="1"/>
  <c r="J21" i="28"/>
  <c r="N161" i="64"/>
  <c r="G105" i="64"/>
  <c r="G108" i="64" s="1"/>
  <c r="H105" i="64"/>
  <c r="H108" i="64" s="1"/>
  <c r="I105" i="64"/>
  <c r="I108" i="64" s="1"/>
  <c r="F105" i="64"/>
  <c r="F108" i="64" s="1"/>
  <c r="K103" i="64"/>
  <c r="J103" i="64"/>
  <c r="E103" i="64"/>
  <c r="G103" i="34"/>
  <c r="H103" i="34" s="1"/>
  <c r="I103" i="34" s="1"/>
  <c r="E103" i="34"/>
  <c r="J241" i="49"/>
  <c r="I241" i="49" s="1"/>
  <c r="I240" i="49"/>
  <c r="H240" i="49"/>
  <c r="G240" i="49"/>
  <c r="J239" i="49"/>
  <c r="H239" i="49" s="1"/>
  <c r="H136" i="47"/>
  <c r="K136" i="47" s="1"/>
  <c r="J136" i="47" s="1"/>
  <c r="I136" i="47" s="1"/>
  <c r="I27" i="35" l="1"/>
  <c r="I33" i="35"/>
  <c r="I239" i="49"/>
  <c r="G22" i="35"/>
  <c r="G21" i="35"/>
  <c r="F17" i="35"/>
  <c r="H29" i="35"/>
  <c r="F21" i="35"/>
  <c r="G29" i="35"/>
  <c r="H6" i="35"/>
  <c r="G6" i="35"/>
  <c r="G31" i="35"/>
  <c r="F30" i="35"/>
  <c r="F33" i="35" s="1"/>
  <c r="F31" i="35"/>
  <c r="H17" i="35"/>
  <c r="G25" i="35"/>
  <c r="F25" i="35"/>
  <c r="G32" i="35"/>
  <c r="H13" i="35"/>
  <c r="H9" i="35"/>
  <c r="F22" i="35"/>
  <c r="H32" i="35"/>
  <c r="F9" i="35"/>
  <c r="G26" i="35"/>
  <c r="F26" i="35"/>
  <c r="G30" i="35"/>
  <c r="G33" i="35" s="1"/>
  <c r="H30" i="35"/>
  <c r="H33" i="35" s="1"/>
  <c r="H22" i="35"/>
  <c r="H27" i="35" s="1"/>
  <c r="L67" i="65"/>
  <c r="I7" i="35"/>
  <c r="I15" i="35" s="1"/>
  <c r="F10" i="35"/>
  <c r="F14" i="35"/>
  <c r="G14" i="35"/>
  <c r="H18" i="35"/>
  <c r="H19" i="35" s="1"/>
  <c r="G18" i="35"/>
  <c r="G19" i="35" s="1"/>
  <c r="F18" i="35"/>
  <c r="F19" i="35" s="1"/>
  <c r="G10" i="35"/>
  <c r="G241" i="49"/>
  <c r="G239" i="49"/>
  <c r="H241" i="49"/>
  <c r="F11" i="39"/>
  <c r="F27" i="35" l="1"/>
  <c r="G27" i="35"/>
  <c r="I34" i="35"/>
  <c r="I66" i="65"/>
  <c r="F64" i="65"/>
  <c r="H7" i="35"/>
  <c r="H15" i="35" s="1"/>
  <c r="G7" i="35"/>
  <c r="G15" i="35" s="1"/>
  <c r="F7" i="35"/>
  <c r="F15" i="35" s="1"/>
  <c r="N153" i="64"/>
  <c r="M153" i="64"/>
  <c r="G146" i="64"/>
  <c r="G147" i="64" s="1"/>
  <c r="H146" i="64"/>
  <c r="H147" i="64" s="1"/>
  <c r="I146" i="64"/>
  <c r="I147" i="64" s="1"/>
  <c r="F146" i="64"/>
  <c r="F147" i="64" s="1"/>
  <c r="K145" i="64"/>
  <c r="J145" i="64"/>
  <c r="K144" i="64"/>
  <c r="J144" i="64"/>
  <c r="K142" i="64"/>
  <c r="J142" i="64"/>
  <c r="K143" i="64"/>
  <c r="J143" i="64"/>
  <c r="G132" i="64"/>
  <c r="G133" i="64" s="1"/>
  <c r="H132" i="64"/>
  <c r="H133" i="64" s="1"/>
  <c r="I132" i="64"/>
  <c r="I133" i="64" s="1"/>
  <c r="F132" i="64"/>
  <c r="F133" i="64" s="1"/>
  <c r="F134" i="64" s="1"/>
  <c r="F135" i="64" s="1"/>
  <c r="K131" i="64"/>
  <c r="J131" i="64"/>
  <c r="J111" i="64"/>
  <c r="K111" i="64"/>
  <c r="K130" i="64"/>
  <c r="J130" i="64"/>
  <c r="I134" i="64"/>
  <c r="I135" i="64" s="1"/>
  <c r="F119" i="64"/>
  <c r="G119" i="64"/>
  <c r="H119" i="64"/>
  <c r="I119" i="64"/>
  <c r="F122" i="64"/>
  <c r="G122" i="64"/>
  <c r="H122" i="64"/>
  <c r="I122" i="64"/>
  <c r="K121" i="64"/>
  <c r="K122" i="64" s="1"/>
  <c r="J121" i="64"/>
  <c r="J122" i="64" s="1"/>
  <c r="K118" i="64"/>
  <c r="K119" i="64" s="1"/>
  <c r="J118" i="64"/>
  <c r="J119" i="64" s="1"/>
  <c r="F116" i="64"/>
  <c r="G116" i="64"/>
  <c r="H116" i="64"/>
  <c r="I116" i="64"/>
  <c r="K115" i="64"/>
  <c r="K116" i="64" s="1"/>
  <c r="J115" i="64"/>
  <c r="J116" i="64" s="1"/>
  <c r="F113" i="64"/>
  <c r="G113" i="64"/>
  <c r="G123" i="64" s="1"/>
  <c r="H113" i="64"/>
  <c r="H123" i="64" s="1"/>
  <c r="I113" i="64"/>
  <c r="K112" i="64"/>
  <c r="J112" i="64"/>
  <c r="K94" i="64"/>
  <c r="K95" i="64"/>
  <c r="K96" i="64"/>
  <c r="K97" i="64"/>
  <c r="K98" i="64"/>
  <c r="K99" i="64"/>
  <c r="K100" i="64"/>
  <c r="K101" i="64"/>
  <c r="K102" i="64"/>
  <c r="K104" i="64"/>
  <c r="J94" i="64"/>
  <c r="J95" i="64"/>
  <c r="J96" i="64"/>
  <c r="J97" i="64"/>
  <c r="J98" i="64"/>
  <c r="J99" i="64"/>
  <c r="J100" i="64"/>
  <c r="J101" i="64"/>
  <c r="J102" i="64"/>
  <c r="J104" i="64"/>
  <c r="K93" i="64"/>
  <c r="J93" i="64"/>
  <c r="G88" i="64"/>
  <c r="H88" i="64"/>
  <c r="I88" i="64"/>
  <c r="F88" i="64"/>
  <c r="K87" i="64"/>
  <c r="K88" i="64" s="1"/>
  <c r="J87" i="64"/>
  <c r="J88" i="64" s="1"/>
  <c r="G85" i="64"/>
  <c r="H85" i="64"/>
  <c r="I85" i="64"/>
  <c r="F85" i="64"/>
  <c r="K84" i="64"/>
  <c r="K85" i="64" s="1"/>
  <c r="J84" i="64"/>
  <c r="J85" i="64" s="1"/>
  <c r="G79" i="64"/>
  <c r="G80" i="64" s="1"/>
  <c r="H79" i="64"/>
  <c r="H80" i="64" s="1"/>
  <c r="I79" i="64"/>
  <c r="I80" i="64" s="1"/>
  <c r="F79" i="64"/>
  <c r="F80" i="64" s="1"/>
  <c r="K78" i="64"/>
  <c r="K79" i="64" s="1"/>
  <c r="K80" i="64" s="1"/>
  <c r="J78" i="64"/>
  <c r="J79" i="64" s="1"/>
  <c r="J80" i="64" s="1"/>
  <c r="F123" i="64" l="1"/>
  <c r="I123" i="64"/>
  <c r="J113" i="64"/>
  <c r="J123" i="64" s="1"/>
  <c r="N154" i="64"/>
  <c r="K105" i="64"/>
  <c r="K108" i="64" s="1"/>
  <c r="K146" i="64"/>
  <c r="K147" i="64" s="1"/>
  <c r="K113" i="64"/>
  <c r="K123" i="64" s="1"/>
  <c r="H34" i="35"/>
  <c r="F34" i="35"/>
  <c r="G34" i="35"/>
  <c r="J105" i="64"/>
  <c r="J108" i="64" s="1"/>
  <c r="H134" i="64"/>
  <c r="H135" i="64" s="1"/>
  <c r="J132" i="64"/>
  <c r="I124" i="64"/>
  <c r="I126" i="64" s="1"/>
  <c r="J146" i="64"/>
  <c r="J147" i="64" s="1"/>
  <c r="K132" i="64"/>
  <c r="G134" i="64"/>
  <c r="G135" i="64" s="1"/>
  <c r="G124" i="64"/>
  <c r="G126" i="64" s="1"/>
  <c r="F124" i="64"/>
  <c r="F126" i="64" s="1"/>
  <c r="H124" i="64"/>
  <c r="H126" i="64" s="1"/>
  <c r="K69" i="64"/>
  <c r="K70" i="64" s="1"/>
  <c r="J69" i="64"/>
  <c r="J70" i="64" s="1"/>
  <c r="K65" i="64"/>
  <c r="K66" i="64"/>
  <c r="J65" i="64"/>
  <c r="J66" i="64"/>
  <c r="K64" i="64"/>
  <c r="J64" i="64"/>
  <c r="F70" i="64"/>
  <c r="G70" i="64"/>
  <c r="H70" i="64"/>
  <c r="I70" i="64"/>
  <c r="E70" i="64"/>
  <c r="F67" i="64"/>
  <c r="G67" i="64"/>
  <c r="H67" i="64"/>
  <c r="I67" i="64"/>
  <c r="K56" i="64"/>
  <c r="K57" i="64"/>
  <c r="K58" i="64"/>
  <c r="K59" i="64"/>
  <c r="K60" i="64"/>
  <c r="K61" i="64"/>
  <c r="J56" i="64"/>
  <c r="J57" i="64"/>
  <c r="J58" i="64"/>
  <c r="J59" i="64"/>
  <c r="J60" i="64"/>
  <c r="J61" i="64"/>
  <c r="K55" i="64"/>
  <c r="J55" i="64"/>
  <c r="F62" i="64"/>
  <c r="G62" i="64"/>
  <c r="H62" i="64"/>
  <c r="I62" i="64"/>
  <c r="F44" i="64"/>
  <c r="G44" i="64"/>
  <c r="H44" i="64"/>
  <c r="I44" i="64"/>
  <c r="F51" i="64"/>
  <c r="G51" i="64"/>
  <c r="H51" i="64"/>
  <c r="I51" i="64"/>
  <c r="E51" i="64"/>
  <c r="K47" i="64"/>
  <c r="K48" i="64"/>
  <c r="K49" i="64"/>
  <c r="K50" i="64"/>
  <c r="J47" i="64"/>
  <c r="J48" i="64"/>
  <c r="J49" i="64"/>
  <c r="J50" i="64"/>
  <c r="K46" i="64"/>
  <c r="J46" i="64"/>
  <c r="K43" i="64"/>
  <c r="K44" i="64" s="1"/>
  <c r="J43" i="64"/>
  <c r="J44" i="64" s="1"/>
  <c r="K12" i="64"/>
  <c r="K13" i="64"/>
  <c r="K14" i="64"/>
  <c r="K15" i="64"/>
  <c r="K16" i="64"/>
  <c r="K17" i="64"/>
  <c r="K18" i="64"/>
  <c r="K19" i="64"/>
  <c r="K20" i="64"/>
  <c r="K21" i="64"/>
  <c r="K22" i="64"/>
  <c r="K23" i="64"/>
  <c r="K24" i="64"/>
  <c r="K25" i="64"/>
  <c r="K26" i="64"/>
  <c r="K27" i="64"/>
  <c r="K28" i="64"/>
  <c r="K29" i="64"/>
  <c r="K30" i="64"/>
  <c r="K31" i="64"/>
  <c r="K32" i="64"/>
  <c r="K33" i="64"/>
  <c r="K34" i="64"/>
  <c r="K35" i="64"/>
  <c r="K36" i="64"/>
  <c r="K37" i="64"/>
  <c r="K38" i="64"/>
  <c r="K39" i="64"/>
  <c r="K40" i="64"/>
  <c r="J12" i="64"/>
  <c r="J13" i="64"/>
  <c r="J14" i="64"/>
  <c r="J15" i="64"/>
  <c r="J16" i="64"/>
  <c r="J17" i="64"/>
  <c r="J18" i="64"/>
  <c r="J19" i="64"/>
  <c r="J20" i="64"/>
  <c r="J21" i="64"/>
  <c r="J22" i="64"/>
  <c r="J23" i="64"/>
  <c r="J24" i="64"/>
  <c r="J25" i="64"/>
  <c r="J26" i="64"/>
  <c r="J27" i="64"/>
  <c r="J28" i="64"/>
  <c r="J29" i="64"/>
  <c r="J30" i="64"/>
  <c r="J31" i="64"/>
  <c r="J32" i="64"/>
  <c r="J33" i="64"/>
  <c r="J34" i="64"/>
  <c r="J35" i="64"/>
  <c r="J36" i="64"/>
  <c r="J37" i="64"/>
  <c r="J38" i="64"/>
  <c r="J39" i="64"/>
  <c r="J40" i="64"/>
  <c r="K11" i="64"/>
  <c r="J11" i="64"/>
  <c r="F41" i="64"/>
  <c r="G41" i="64"/>
  <c r="H41" i="64"/>
  <c r="I41" i="64"/>
  <c r="I168" i="64"/>
  <c r="I169" i="64" s="1"/>
  <c r="F168" i="64"/>
  <c r="F160" i="64"/>
  <c r="C160" i="64"/>
  <c r="E147" i="64"/>
  <c r="E131" i="64"/>
  <c r="E130" i="64"/>
  <c r="E121" i="64"/>
  <c r="E122" i="64" s="1"/>
  <c r="E119" i="64"/>
  <c r="E116" i="64"/>
  <c r="E112" i="64"/>
  <c r="E111" i="64"/>
  <c r="E104" i="64"/>
  <c r="E102" i="64"/>
  <c r="E101" i="64"/>
  <c r="E100" i="64"/>
  <c r="E99" i="64"/>
  <c r="E98" i="64"/>
  <c r="E97" i="64"/>
  <c r="E96" i="64"/>
  <c r="E95" i="64"/>
  <c r="E94" i="64"/>
  <c r="E93" i="64"/>
  <c r="E88" i="64"/>
  <c r="E85" i="64"/>
  <c r="E79" i="64"/>
  <c r="E80" i="64" s="1"/>
  <c r="D70" i="64"/>
  <c r="E67" i="64"/>
  <c r="E61" i="64"/>
  <c r="E60" i="64"/>
  <c r="E59" i="64"/>
  <c r="E58" i="64"/>
  <c r="E57" i="64"/>
  <c r="E56" i="64"/>
  <c r="E55" i="64"/>
  <c r="E44" i="64"/>
  <c r="E40" i="64"/>
  <c r="E39" i="64"/>
  <c r="E38" i="64"/>
  <c r="E37" i="64"/>
  <c r="E36" i="64"/>
  <c r="E35" i="64"/>
  <c r="E34" i="64"/>
  <c r="E33" i="64"/>
  <c r="E32" i="64"/>
  <c r="E31" i="64"/>
  <c r="E30" i="64"/>
  <c r="E29" i="64"/>
  <c r="E28" i="64"/>
  <c r="P27" i="64"/>
  <c r="P28" i="64" s="1"/>
  <c r="P29" i="64" s="1"/>
  <c r="E27" i="64"/>
  <c r="E26" i="64"/>
  <c r="E25" i="64"/>
  <c r="E24" i="64"/>
  <c r="E23" i="64"/>
  <c r="E22" i="64"/>
  <c r="E21" i="64"/>
  <c r="E20" i="64"/>
  <c r="P19" i="64"/>
  <c r="E19" i="64"/>
  <c r="E18" i="64"/>
  <c r="E17" i="64"/>
  <c r="E16" i="64"/>
  <c r="E15" i="64"/>
  <c r="E14" i="64"/>
  <c r="E13" i="64"/>
  <c r="E12" i="64"/>
  <c r="E11" i="64"/>
  <c r="K133" i="64" l="1"/>
  <c r="K134" i="64" s="1"/>
  <c r="K135" i="64" s="1"/>
  <c r="J134" i="64"/>
  <c r="J135" i="64" s="1"/>
  <c r="J133" i="64"/>
  <c r="I65" i="65"/>
  <c r="I67" i="65" s="1"/>
  <c r="G71" i="64"/>
  <c r="H52" i="64"/>
  <c r="K124" i="64"/>
  <c r="K126" i="64" s="1"/>
  <c r="J124" i="64"/>
  <c r="J126" i="64" s="1"/>
  <c r="I52" i="64"/>
  <c r="G52" i="64"/>
  <c r="I71" i="64"/>
  <c r="F52" i="64"/>
  <c r="H71" i="64"/>
  <c r="F71" i="64"/>
  <c r="J62" i="64"/>
  <c r="K67" i="64"/>
  <c r="K62" i="64"/>
  <c r="K71" i="64" s="1"/>
  <c r="J51" i="64"/>
  <c r="K51" i="64"/>
  <c r="J41" i="64"/>
  <c r="J67" i="64"/>
  <c r="K41" i="64"/>
  <c r="E113" i="64"/>
  <c r="E105" i="64"/>
  <c r="E132" i="64"/>
  <c r="E133" i="64" s="1"/>
  <c r="E41" i="64"/>
  <c r="E62" i="64"/>
  <c r="H72" i="64" l="1"/>
  <c r="H89" i="64" s="1"/>
  <c r="H153" i="64" s="1"/>
  <c r="L64" i="65"/>
  <c r="I72" i="64"/>
  <c r="I89" i="64" s="1"/>
  <c r="I153" i="64" s="1"/>
  <c r="G72" i="64"/>
  <c r="G89" i="64" s="1"/>
  <c r="G153" i="64" s="1"/>
  <c r="F72" i="64"/>
  <c r="F89" i="64" s="1"/>
  <c r="F153" i="64" s="1"/>
  <c r="J52" i="64"/>
  <c r="J71" i="64"/>
  <c r="K52" i="64"/>
  <c r="K72" i="64" s="1"/>
  <c r="K89" i="64" s="1"/>
  <c r="K153" i="64" s="1"/>
  <c r="H250" i="47"/>
  <c r="K250" i="47" s="1"/>
  <c r="J250" i="47" s="1"/>
  <c r="I250" i="47" s="1"/>
  <c r="H249" i="47"/>
  <c r="F26" i="34"/>
  <c r="G26" i="34" s="1"/>
  <c r="H26" i="34" s="1"/>
  <c r="I26" i="34" s="1"/>
  <c r="E26" i="34"/>
  <c r="F13" i="34"/>
  <c r="G13" i="34" s="1"/>
  <c r="H13" i="34" s="1"/>
  <c r="I13" i="34" s="1"/>
  <c r="E13" i="34"/>
  <c r="J60" i="49"/>
  <c r="J61" i="49" s="1"/>
  <c r="J57" i="49"/>
  <c r="J59" i="49"/>
  <c r="I59" i="49" s="1"/>
  <c r="J18" i="49"/>
  <c r="H65" i="47"/>
  <c r="K65" i="47" s="1"/>
  <c r="I154" i="64" l="1"/>
  <c r="H57" i="49"/>
  <c r="J58" i="49"/>
  <c r="G18" i="49"/>
  <c r="J19" i="49"/>
  <c r="G154" i="64"/>
  <c r="K160" i="64"/>
  <c r="J72" i="64"/>
  <c r="J89" i="64" s="1"/>
  <c r="J153" i="64" s="1"/>
  <c r="I57" i="49"/>
  <c r="G59" i="49"/>
  <c r="G57" i="49"/>
  <c r="H59" i="49"/>
  <c r="H18" i="49"/>
  <c r="I18" i="49"/>
  <c r="AC58" i="47"/>
  <c r="AI58" i="47" s="1"/>
  <c r="AC57" i="47"/>
  <c r="AI57" i="47" s="1"/>
  <c r="H56" i="47"/>
  <c r="AD58" i="47" l="1"/>
  <c r="AF58" i="47" s="1"/>
  <c r="AG58" i="47" s="1"/>
  <c r="I19" i="49"/>
  <c r="H19" i="49"/>
  <c r="G19" i="49"/>
  <c r="H58" i="49"/>
  <c r="G58" i="49"/>
  <c r="I58" i="49"/>
  <c r="K56" i="47"/>
  <c r="J56" i="47" s="1"/>
  <c r="I56" i="47" s="1"/>
  <c r="H159" i="64"/>
  <c r="J155" i="64"/>
  <c r="K155" i="64" s="1"/>
  <c r="M155" i="64"/>
  <c r="G104" i="47"/>
  <c r="AC56" i="47"/>
  <c r="AI56" i="47" s="1"/>
  <c r="AJ56" i="47" s="1"/>
  <c r="AK56" i="47" s="1"/>
  <c r="AJ57" i="47"/>
  <c r="AK57" i="47" s="1"/>
  <c r="AJ58" i="47"/>
  <c r="AK58" i="47" s="1"/>
  <c r="AD57" i="47"/>
  <c r="AF57" i="47" s="1"/>
  <c r="AG57" i="47" s="1"/>
  <c r="H158" i="64" l="1"/>
  <c r="H160" i="64" s="1"/>
  <c r="F155" i="64"/>
  <c r="K157" i="64" s="1"/>
  <c r="AD56" i="47"/>
  <c r="AF56" i="47" s="1"/>
  <c r="AG56" i="47" s="1"/>
  <c r="H155" i="64" l="1"/>
  <c r="AC22" i="47"/>
  <c r="AI22" i="47" s="1"/>
  <c r="AC21" i="47"/>
  <c r="AI21" i="47" s="1"/>
  <c r="H20" i="47"/>
  <c r="AC20" i="47" l="1"/>
  <c r="AD20" i="47" s="1"/>
  <c r="AF20" i="47" s="1"/>
  <c r="AG20" i="47" s="1"/>
  <c r="K20" i="47"/>
  <c r="J20" i="47" s="1"/>
  <c r="I20" i="47" s="1"/>
  <c r="J20" i="49"/>
  <c r="AJ21" i="47"/>
  <c r="AK21" i="47" s="1"/>
  <c r="AJ22" i="47"/>
  <c r="AK22" i="47" s="1"/>
  <c r="AI20" i="47"/>
  <c r="AD22" i="47"/>
  <c r="AF22" i="47" s="1"/>
  <c r="AG22" i="47" s="1"/>
  <c r="AD21" i="47"/>
  <c r="AF21" i="47" s="1"/>
  <c r="AG21" i="47" s="1"/>
  <c r="C173" i="34"/>
  <c r="J181" i="34"/>
  <c r="J182" i="34" s="1"/>
  <c r="G181" i="34"/>
  <c r="F179" i="34"/>
  <c r="H20" i="49" l="1"/>
  <c r="G20" i="49"/>
  <c r="I20" i="49"/>
  <c r="AJ20" i="47"/>
  <c r="AK20" i="47" s="1"/>
  <c r="I51" i="43"/>
  <c r="I53" i="43" s="1"/>
  <c r="E52" i="43"/>
  <c r="E60" i="43" s="1"/>
  <c r="D52" i="43"/>
  <c r="D66" i="43"/>
  <c r="F66" i="43" s="1"/>
  <c r="D44" i="43"/>
  <c r="D40" i="43"/>
  <c r="E40" i="43"/>
  <c r="E44" i="43" s="1"/>
  <c r="I38" i="43"/>
  <c r="I37" i="43"/>
  <c r="I39" i="43" s="1"/>
  <c r="E33" i="43"/>
  <c r="J33" i="43"/>
  <c r="E26" i="43"/>
  <c r="D19" i="43"/>
  <c r="E19" i="43"/>
  <c r="D29" i="43"/>
  <c r="E29" i="43"/>
  <c r="E9" i="43"/>
  <c r="I9" i="43"/>
  <c r="F61" i="43"/>
  <c r="F62" i="43"/>
  <c r="F63" i="43"/>
  <c r="F65" i="43"/>
  <c r="F9" i="43"/>
  <c r="F6" i="43"/>
  <c r="F7" i="43"/>
  <c r="F8" i="43"/>
  <c r="F10" i="43"/>
  <c r="F11" i="43"/>
  <c r="F12" i="43"/>
  <c r="F13" i="43"/>
  <c r="F14" i="43"/>
  <c r="F16" i="43"/>
  <c r="F17" i="43"/>
  <c r="F18" i="43"/>
  <c r="F19" i="43" s="1"/>
  <c r="F20" i="43"/>
  <c r="F21" i="43"/>
  <c r="F22" i="43"/>
  <c r="F24" i="43"/>
  <c r="F25" i="43"/>
  <c r="F27" i="43"/>
  <c r="F28" i="43"/>
  <c r="F29" i="43" s="1"/>
  <c r="F31" i="43"/>
  <c r="F32" i="43"/>
  <c r="F34" i="43"/>
  <c r="F35" i="43"/>
  <c r="F36" i="43"/>
  <c r="F38" i="43"/>
  <c r="F39" i="43"/>
  <c r="F41" i="43"/>
  <c r="F42" i="43"/>
  <c r="F43" i="43"/>
  <c r="F45" i="43"/>
  <c r="F46" i="43"/>
  <c r="F47" i="43"/>
  <c r="F48" i="43"/>
  <c r="F50" i="43"/>
  <c r="F51" i="43"/>
  <c r="F52" i="43" s="1"/>
  <c r="F53" i="43"/>
  <c r="F54" i="43"/>
  <c r="F55" i="43"/>
  <c r="F56" i="43"/>
  <c r="F57" i="43"/>
  <c r="F58" i="43"/>
  <c r="E5" i="43"/>
  <c r="E15" i="43" s="1"/>
  <c r="I7" i="43"/>
  <c r="K5" i="43"/>
  <c r="E30" i="43" l="1"/>
  <c r="E67" i="43" s="1"/>
  <c r="E64" i="43" s="1"/>
  <c r="G131" i="30" l="1"/>
  <c r="I49" i="30"/>
  <c r="J49" i="30"/>
  <c r="K49" i="30"/>
  <c r="L49" i="30"/>
  <c r="K204" i="49"/>
  <c r="I203" i="49"/>
  <c r="H203" i="49"/>
  <c r="G203" i="49"/>
  <c r="I202" i="49"/>
  <c r="I200" i="49"/>
  <c r="H200" i="49"/>
  <c r="G200" i="49"/>
  <c r="J88" i="34"/>
  <c r="K88" i="34"/>
  <c r="L88" i="34"/>
  <c r="M88" i="34"/>
  <c r="E88" i="34"/>
  <c r="G86" i="34"/>
  <c r="H86" i="34" s="1"/>
  <c r="I86" i="34" s="1"/>
  <c r="G202" i="49" l="1"/>
  <c r="H202" i="49"/>
  <c r="G141" i="34"/>
  <c r="G142" i="34" s="1"/>
  <c r="J141" i="34"/>
  <c r="J142" i="34" s="1"/>
  <c r="K141" i="34"/>
  <c r="K142" i="34" s="1"/>
  <c r="E140" i="34"/>
  <c r="E139" i="34"/>
  <c r="L130" i="34"/>
  <c r="G128" i="34"/>
  <c r="H128" i="34"/>
  <c r="I128" i="34"/>
  <c r="J128" i="34"/>
  <c r="K128" i="34"/>
  <c r="G125" i="34"/>
  <c r="H125" i="34"/>
  <c r="I125" i="34"/>
  <c r="J125" i="34"/>
  <c r="K125" i="34"/>
  <c r="E125" i="34"/>
  <c r="F118" i="34"/>
  <c r="G119" i="34"/>
  <c r="H119" i="34"/>
  <c r="I119" i="34"/>
  <c r="J119" i="34"/>
  <c r="K119" i="34"/>
  <c r="E156" i="34"/>
  <c r="J153" i="34"/>
  <c r="J155" i="34" s="1"/>
  <c r="F152" i="34"/>
  <c r="F151" i="34"/>
  <c r="F164" i="34"/>
  <c r="G164" i="34" s="1"/>
  <c r="H164" i="34" s="1"/>
  <c r="I164" i="34" s="1"/>
  <c r="F163" i="34"/>
  <c r="E104" i="34"/>
  <c r="E102" i="34"/>
  <c r="E101" i="34"/>
  <c r="E100" i="34"/>
  <c r="E99" i="34"/>
  <c r="E98" i="34"/>
  <c r="E97" i="34"/>
  <c r="E96" i="34"/>
  <c r="E95" i="34"/>
  <c r="E94" i="34"/>
  <c r="E93" i="34"/>
  <c r="L78" i="34"/>
  <c r="L79" i="34" s="1"/>
  <c r="F79" i="34"/>
  <c r="J79" i="34"/>
  <c r="K79" i="34"/>
  <c r="E79" i="34"/>
  <c r="F69" i="34"/>
  <c r="J69" i="34" s="1"/>
  <c r="F64" i="34"/>
  <c r="F66" i="34"/>
  <c r="F65" i="34"/>
  <c r="L65" i="34" s="1"/>
  <c r="G67" i="34"/>
  <c r="J67" i="34"/>
  <c r="K67" i="34"/>
  <c r="M67" i="34"/>
  <c r="E67" i="34"/>
  <c r="G163" i="34" l="1"/>
  <c r="H163" i="34" s="1"/>
  <c r="H128" i="30"/>
  <c r="L128" i="30" s="1"/>
  <c r="H31" i="30"/>
  <c r="L66" i="34"/>
  <c r="H29" i="30"/>
  <c r="F155" i="34"/>
  <c r="E141" i="34"/>
  <c r="E142" i="34" s="1"/>
  <c r="F119" i="34"/>
  <c r="F67" i="34"/>
  <c r="J174" i="49" l="1"/>
  <c r="G333" i="49"/>
  <c r="F330" i="49"/>
  <c r="J327" i="49"/>
  <c r="G327" i="49" s="1"/>
  <c r="J324" i="49"/>
  <c r="I324" i="49" s="1"/>
  <c r="H24" i="10"/>
  <c r="I24" i="10"/>
  <c r="K24" i="10"/>
  <c r="G24" i="10"/>
  <c r="G26" i="10" s="1"/>
  <c r="J334" i="49"/>
  <c r="G332" i="49"/>
  <c r="F332" i="49"/>
  <c r="G331" i="49"/>
  <c r="F331" i="49"/>
  <c r="F329" i="49"/>
  <c r="F328" i="49"/>
  <c r="F323" i="49"/>
  <c r="F325" i="49"/>
  <c r="F326" i="49"/>
  <c r="G323" i="49"/>
  <c r="G325" i="49"/>
  <c r="G326" i="49"/>
  <c r="H323" i="49"/>
  <c r="H325" i="49"/>
  <c r="H326" i="49"/>
  <c r="I323" i="49"/>
  <c r="I325" i="49"/>
  <c r="I326" i="49"/>
  <c r="H322" i="49"/>
  <c r="F131" i="49"/>
  <c r="F334" i="49" l="1"/>
  <c r="H334" i="49"/>
  <c r="F333" i="49"/>
  <c r="F327" i="49"/>
  <c r="H327" i="49"/>
  <c r="I327" i="49"/>
  <c r="I336" i="49" s="1"/>
  <c r="I337" i="49" s="1"/>
  <c r="I338" i="49" s="1"/>
  <c r="G324" i="49"/>
  <c r="G336" i="49" s="1"/>
  <c r="F324" i="49"/>
  <c r="J336" i="49"/>
  <c r="J337" i="49" s="1"/>
  <c r="J338" i="49" s="1"/>
  <c r="M346" i="49" s="1"/>
  <c r="M349" i="49" s="1"/>
  <c r="H324" i="49"/>
  <c r="G201" i="47"/>
  <c r="J41" i="34"/>
  <c r="K41" i="34"/>
  <c r="L41" i="34"/>
  <c r="M41" i="34"/>
  <c r="E40" i="34"/>
  <c r="E39" i="34"/>
  <c r="E38" i="34"/>
  <c r="E37" i="34"/>
  <c r="E36" i="34"/>
  <c r="E35" i="34"/>
  <c r="E34" i="34"/>
  <c r="E33" i="34"/>
  <c r="G251" i="47"/>
  <c r="G315" i="49"/>
  <c r="G316" i="49" s="1"/>
  <c r="H315" i="49"/>
  <c r="H316" i="49" s="1"/>
  <c r="I315" i="49"/>
  <c r="I316" i="49" s="1"/>
  <c r="J312" i="49"/>
  <c r="J309" i="49"/>
  <c r="J310" i="49"/>
  <c r="J307" i="49"/>
  <c r="J284" i="49"/>
  <c r="J287" i="49" s="1"/>
  <c r="AB219" i="47"/>
  <c r="AC219" i="47" s="1"/>
  <c r="G219" i="47"/>
  <c r="J277" i="49" s="1"/>
  <c r="F219" i="47"/>
  <c r="D219" i="47"/>
  <c r="AA217" i="47"/>
  <c r="Q216" i="47"/>
  <c r="R216" i="47" s="1"/>
  <c r="U216" i="47" s="1"/>
  <c r="AA216" i="47" s="1"/>
  <c r="H216" i="47"/>
  <c r="K216" i="47" s="1"/>
  <c r="J216" i="47" s="1"/>
  <c r="I216" i="47" s="1"/>
  <c r="I219" i="47" s="1"/>
  <c r="F272" i="49"/>
  <c r="J270" i="49"/>
  <c r="J267" i="49"/>
  <c r="F254" i="49"/>
  <c r="F247" i="49"/>
  <c r="J244" i="49"/>
  <c r="J242" i="49"/>
  <c r="J238" i="49"/>
  <c r="H238" i="49" s="1"/>
  <c r="J236" i="49"/>
  <c r="I236" i="49" s="1"/>
  <c r="J235" i="49"/>
  <c r="H235" i="49" s="1"/>
  <c r="J233" i="49"/>
  <c r="H233" i="49" s="1"/>
  <c r="J232" i="49"/>
  <c r="H232" i="49" s="1"/>
  <c r="J230" i="49"/>
  <c r="G230" i="49" s="1"/>
  <c r="J229" i="49"/>
  <c r="H229" i="49" s="1"/>
  <c r="J227" i="49"/>
  <c r="I227" i="49" s="1"/>
  <c r="J226" i="49"/>
  <c r="I226" i="49" s="1"/>
  <c r="J224" i="49"/>
  <c r="H224" i="49" s="1"/>
  <c r="J223" i="49"/>
  <c r="I223" i="49" s="1"/>
  <c r="J221" i="49"/>
  <c r="H221" i="49" s="1"/>
  <c r="J220" i="49"/>
  <c r="I220" i="49" s="1"/>
  <c r="J218" i="49"/>
  <c r="I218" i="49" s="1"/>
  <c r="J217" i="49"/>
  <c r="I217" i="49" s="1"/>
  <c r="J215" i="49"/>
  <c r="I215" i="49" s="1"/>
  <c r="J214" i="49"/>
  <c r="G214" i="49" s="1"/>
  <c r="J212" i="49"/>
  <c r="I212" i="49" s="1"/>
  <c r="J211" i="49"/>
  <c r="J209" i="49"/>
  <c r="I213" i="49"/>
  <c r="H213" i="49"/>
  <c r="G213" i="49"/>
  <c r="I216" i="49"/>
  <c r="H216" i="49"/>
  <c r="G216" i="49"/>
  <c r="I219" i="49"/>
  <c r="H219" i="49"/>
  <c r="G219" i="49"/>
  <c r="I222" i="49"/>
  <c r="H222" i="49"/>
  <c r="G222" i="49"/>
  <c r="I225" i="49"/>
  <c r="H225" i="49"/>
  <c r="G225" i="49"/>
  <c r="I228" i="49"/>
  <c r="H228" i="49"/>
  <c r="G228" i="49"/>
  <c r="I231" i="49"/>
  <c r="H231" i="49"/>
  <c r="G231" i="49"/>
  <c r="I234" i="49"/>
  <c r="H234" i="49"/>
  <c r="G234" i="49"/>
  <c r="I237" i="49"/>
  <c r="H237" i="49"/>
  <c r="G237" i="49"/>
  <c r="I210" i="49"/>
  <c r="H210" i="49"/>
  <c r="G210" i="49"/>
  <c r="F245" i="49"/>
  <c r="J167" i="49"/>
  <c r="J164" i="49"/>
  <c r="F164" i="49" s="1"/>
  <c r="J161" i="49"/>
  <c r="F161" i="49" s="1"/>
  <c r="F160" i="49"/>
  <c r="F159" i="49"/>
  <c r="F163" i="49"/>
  <c r="F162" i="49"/>
  <c r="F243" i="47"/>
  <c r="G243" i="47"/>
  <c r="D243" i="47"/>
  <c r="H237" i="47"/>
  <c r="K237" i="47" s="1"/>
  <c r="J237" i="47" s="1"/>
  <c r="I237" i="47" s="1"/>
  <c r="H240" i="47"/>
  <c r="H234" i="47"/>
  <c r="H243" i="47" s="1"/>
  <c r="F232" i="47"/>
  <c r="G232" i="47"/>
  <c r="D232" i="47"/>
  <c r="H229" i="47"/>
  <c r="H226" i="47"/>
  <c r="F224" i="47"/>
  <c r="G224" i="47"/>
  <c r="H221" i="47"/>
  <c r="H224" i="47" s="1"/>
  <c r="F124" i="34" s="1"/>
  <c r="F125" i="34" s="1"/>
  <c r="H211" i="47"/>
  <c r="F139" i="34" s="1"/>
  <c r="H208" i="47"/>
  <c r="F140" i="34" s="1"/>
  <c r="F214" i="47"/>
  <c r="G214" i="47"/>
  <c r="D214" i="47"/>
  <c r="H203" i="47"/>
  <c r="H206" i="47" s="1"/>
  <c r="F127" i="34" s="1"/>
  <c r="F128" i="34" s="1"/>
  <c r="H78" i="30" s="1"/>
  <c r="F206" i="47"/>
  <c r="G206" i="47"/>
  <c r="J291" i="49" s="1"/>
  <c r="J294" i="49" s="1"/>
  <c r="D206" i="47"/>
  <c r="H183" i="47"/>
  <c r="J139" i="49" s="1"/>
  <c r="H186" i="47"/>
  <c r="J142" i="49" s="1"/>
  <c r="H189" i="47"/>
  <c r="F58" i="34" s="1"/>
  <c r="H192" i="47"/>
  <c r="J148" i="49" s="1"/>
  <c r="H195" i="47"/>
  <c r="J151" i="49" s="1"/>
  <c r="H198" i="47"/>
  <c r="J154" i="49" s="1"/>
  <c r="H180" i="47"/>
  <c r="J136" i="49" s="1"/>
  <c r="H232" i="47" l="1"/>
  <c r="F56" i="34"/>
  <c r="J219" i="47"/>
  <c r="G244" i="47"/>
  <c r="F57" i="34"/>
  <c r="K219" i="47"/>
  <c r="F59" i="34"/>
  <c r="F60" i="34"/>
  <c r="F61" i="34"/>
  <c r="H209" i="49"/>
  <c r="J245" i="49"/>
  <c r="H201" i="47"/>
  <c r="F141" i="34"/>
  <c r="H219" i="47"/>
  <c r="F121" i="34" s="1"/>
  <c r="F55" i="34"/>
  <c r="G337" i="49"/>
  <c r="G338" i="49" s="1"/>
  <c r="I211" i="49"/>
  <c r="J247" i="49"/>
  <c r="H336" i="49"/>
  <c r="F336" i="49"/>
  <c r="F262" i="49"/>
  <c r="J315" i="49"/>
  <c r="J316" i="49" s="1"/>
  <c r="J313" i="49"/>
  <c r="J273" i="49"/>
  <c r="I209" i="49"/>
  <c r="H236" i="49"/>
  <c r="H212" i="49"/>
  <c r="H230" i="49"/>
  <c r="G221" i="49"/>
  <c r="I221" i="49"/>
  <c r="G209" i="49"/>
  <c r="G236" i="49"/>
  <c r="G233" i="49"/>
  <c r="I233" i="49"/>
  <c r="I230" i="49"/>
  <c r="H227" i="49"/>
  <c r="G227" i="49"/>
  <c r="I224" i="49"/>
  <c r="G224" i="49"/>
  <c r="G223" i="49"/>
  <c r="G218" i="49"/>
  <c r="H218" i="49"/>
  <c r="G215" i="49"/>
  <c r="H215" i="49"/>
  <c r="H214" i="49"/>
  <c r="I214" i="49"/>
  <c r="G212" i="49"/>
  <c r="G217" i="49"/>
  <c r="H217" i="49"/>
  <c r="G220" i="49"/>
  <c r="H220" i="49"/>
  <c r="H223" i="49"/>
  <c r="I229" i="49"/>
  <c r="G226" i="49"/>
  <c r="H226" i="49"/>
  <c r="I232" i="49"/>
  <c r="G229" i="49"/>
  <c r="G238" i="49"/>
  <c r="I238" i="49"/>
  <c r="I235" i="49"/>
  <c r="G232" i="49"/>
  <c r="G235" i="49"/>
  <c r="G211" i="49"/>
  <c r="H211" i="49"/>
  <c r="J170" i="49"/>
  <c r="K234" i="47"/>
  <c r="J234" i="47" s="1"/>
  <c r="I234" i="47" s="1"/>
  <c r="J145" i="49"/>
  <c r="J157" i="49" s="1"/>
  <c r="H114" i="30" l="1"/>
  <c r="F142" i="34"/>
  <c r="E251" i="47"/>
  <c r="E259" i="47"/>
  <c r="F337" i="49"/>
  <c r="F338" i="49" s="1"/>
  <c r="H337" i="49"/>
  <c r="H338" i="49" s="1"/>
  <c r="F273" i="49"/>
  <c r="J78" i="49"/>
  <c r="J81" i="49"/>
  <c r="J84" i="49"/>
  <c r="J87" i="49"/>
  <c r="J88" i="49" s="1"/>
  <c r="J90" i="49"/>
  <c r="J91" i="49" s="1"/>
  <c r="J93" i="49"/>
  <c r="J96" i="49"/>
  <c r="I84" i="49" l="1"/>
  <c r="J85" i="49"/>
  <c r="G93" i="49"/>
  <c r="J94" i="49"/>
  <c r="I81" i="49"/>
  <c r="J82" i="49"/>
  <c r="G78" i="49"/>
  <c r="J79" i="49"/>
  <c r="I96" i="49"/>
  <c r="J97" i="49"/>
  <c r="I78" i="49"/>
  <c r="H78" i="49"/>
  <c r="G90" i="49"/>
  <c r="H90" i="49"/>
  <c r="G81" i="49"/>
  <c r="H81" i="49"/>
  <c r="G84" i="49"/>
  <c r="G87" i="49"/>
  <c r="H84" i="49"/>
  <c r="H87" i="49"/>
  <c r="I87" i="49"/>
  <c r="I88" i="49"/>
  <c r="H88" i="49"/>
  <c r="G88" i="49"/>
  <c r="I90" i="49"/>
  <c r="H93" i="49"/>
  <c r="I93" i="49"/>
  <c r="I91" i="49"/>
  <c r="H91" i="49"/>
  <c r="G91" i="49"/>
  <c r="G96" i="49"/>
  <c r="H96" i="49"/>
  <c r="G176" i="47"/>
  <c r="H173" i="47"/>
  <c r="G171" i="47"/>
  <c r="H168" i="47"/>
  <c r="G166" i="47"/>
  <c r="H163" i="47"/>
  <c r="G161" i="47"/>
  <c r="H158" i="47"/>
  <c r="G156" i="47"/>
  <c r="H147" i="47"/>
  <c r="K147" i="47" s="1"/>
  <c r="J147" i="47" s="1"/>
  <c r="H150" i="47"/>
  <c r="K150" i="47" s="1"/>
  <c r="J150" i="47" s="1"/>
  <c r="H153" i="47"/>
  <c r="K153" i="47" s="1"/>
  <c r="J153" i="47" s="1"/>
  <c r="H144" i="47"/>
  <c r="K144" i="47" s="1"/>
  <c r="J144" i="47" s="1"/>
  <c r="H109" i="47"/>
  <c r="H112" i="47"/>
  <c r="H115" i="47"/>
  <c r="H118" i="47"/>
  <c r="H121" i="47"/>
  <c r="H124" i="47"/>
  <c r="H127" i="47"/>
  <c r="H130" i="47"/>
  <c r="H133" i="47"/>
  <c r="H139" i="47"/>
  <c r="H106" i="47"/>
  <c r="D142" i="47"/>
  <c r="G177" i="47" l="1"/>
  <c r="E258" i="47" s="1"/>
  <c r="E261" i="47" s="1"/>
  <c r="E263" i="47" s="1"/>
  <c r="H176" i="47"/>
  <c r="J201" i="49"/>
  <c r="K173" i="47"/>
  <c r="J173" i="47" s="1"/>
  <c r="F87" i="34"/>
  <c r="H171" i="47"/>
  <c r="K168" i="47"/>
  <c r="J168" i="47" s="1"/>
  <c r="H166" i="47"/>
  <c r="K163" i="47"/>
  <c r="J163" i="47" s="1"/>
  <c r="H161" i="47"/>
  <c r="K158" i="47"/>
  <c r="J158" i="47" s="1"/>
  <c r="H142" i="47"/>
  <c r="K139" i="47"/>
  <c r="J139" i="47" s="1"/>
  <c r="F104" i="34"/>
  <c r="G104" i="34" s="1"/>
  <c r="H104" i="34" s="1"/>
  <c r="K133" i="47"/>
  <c r="J133" i="47" s="1"/>
  <c r="I133" i="47" s="1"/>
  <c r="F102" i="34"/>
  <c r="G102" i="34" s="1"/>
  <c r="H102" i="34" s="1"/>
  <c r="I102" i="34" s="1"/>
  <c r="K130" i="47"/>
  <c r="J130" i="47" s="1"/>
  <c r="I130" i="47" s="1"/>
  <c r="F101" i="34"/>
  <c r="G101" i="34" s="1"/>
  <c r="H101" i="34" s="1"/>
  <c r="I101" i="34" s="1"/>
  <c r="K127" i="47"/>
  <c r="J127" i="47" s="1"/>
  <c r="I127" i="47" s="1"/>
  <c r="F100" i="34"/>
  <c r="G100" i="34" s="1"/>
  <c r="H100" i="34" s="1"/>
  <c r="I100" i="34" s="1"/>
  <c r="K124" i="47"/>
  <c r="J124" i="47" s="1"/>
  <c r="I124" i="47" s="1"/>
  <c r="F99" i="34"/>
  <c r="G99" i="34" s="1"/>
  <c r="H99" i="34" s="1"/>
  <c r="I99" i="34" s="1"/>
  <c r="K121" i="47"/>
  <c r="J121" i="47" s="1"/>
  <c r="I121" i="47" s="1"/>
  <c r="F98" i="34"/>
  <c r="G98" i="34" s="1"/>
  <c r="H98" i="34" s="1"/>
  <c r="I98" i="34" s="1"/>
  <c r="K118" i="47"/>
  <c r="J118" i="47" s="1"/>
  <c r="I118" i="47" s="1"/>
  <c r="F97" i="34"/>
  <c r="G97" i="34" s="1"/>
  <c r="H97" i="34" s="1"/>
  <c r="I97" i="34" s="1"/>
  <c r="K115" i="47"/>
  <c r="J115" i="47" s="1"/>
  <c r="I115" i="47" s="1"/>
  <c r="F96" i="34"/>
  <c r="G96" i="34" s="1"/>
  <c r="H96" i="34" s="1"/>
  <c r="I96" i="34" s="1"/>
  <c r="K112" i="47"/>
  <c r="J112" i="47" s="1"/>
  <c r="I112" i="47" s="1"/>
  <c r="F95" i="34"/>
  <c r="G95" i="34" s="1"/>
  <c r="H95" i="34" s="1"/>
  <c r="I95" i="34" s="1"/>
  <c r="K109" i="47"/>
  <c r="J109" i="47" s="1"/>
  <c r="F94" i="34"/>
  <c r="G94" i="34" s="1"/>
  <c r="H94" i="34" s="1"/>
  <c r="I94" i="34" s="1"/>
  <c r="K106" i="47"/>
  <c r="F93" i="34"/>
  <c r="G93" i="34" s="1"/>
  <c r="H93" i="34" s="1"/>
  <c r="H156" i="47"/>
  <c r="I79" i="49"/>
  <c r="H79" i="49"/>
  <c r="G79" i="49"/>
  <c r="G82" i="49"/>
  <c r="I82" i="49"/>
  <c r="H82" i="49"/>
  <c r="I85" i="49"/>
  <c r="G85" i="49"/>
  <c r="H85" i="49"/>
  <c r="I94" i="49"/>
  <c r="H94" i="49"/>
  <c r="G94" i="49"/>
  <c r="I97" i="49"/>
  <c r="H97" i="49"/>
  <c r="G97" i="49"/>
  <c r="G87" i="34" l="1"/>
  <c r="F88" i="34"/>
  <c r="H47" i="30" s="1"/>
  <c r="H49" i="30" s="1"/>
  <c r="D4" i="29" s="1"/>
  <c r="G4" i="29" s="1"/>
  <c r="J204" i="49"/>
  <c r="I201" i="49"/>
  <c r="I204" i="49" s="1"/>
  <c r="G201" i="49"/>
  <c r="G204" i="49" s="1"/>
  <c r="H201" i="49"/>
  <c r="H204" i="49" s="1"/>
  <c r="J106" i="47"/>
  <c r="J142" i="47" s="1"/>
  <c r="K142" i="47"/>
  <c r="G245" i="47"/>
  <c r="G252" i="47" s="1"/>
  <c r="H17" i="47"/>
  <c r="H23" i="47"/>
  <c r="H26" i="47"/>
  <c r="H29" i="47"/>
  <c r="H32" i="47"/>
  <c r="H35" i="47"/>
  <c r="H38" i="47"/>
  <c r="H41" i="47"/>
  <c r="H44" i="47"/>
  <c r="H47" i="47"/>
  <c r="H50" i="47"/>
  <c r="H53" i="47"/>
  <c r="H59" i="47"/>
  <c r="H62" i="47"/>
  <c r="J65" i="47"/>
  <c r="H68" i="47"/>
  <c r="H71" i="47"/>
  <c r="H74" i="47"/>
  <c r="H77" i="47"/>
  <c r="H80" i="47"/>
  <c r="K80" i="47" s="1"/>
  <c r="H83" i="47"/>
  <c r="K83" i="47" s="1"/>
  <c r="H86" i="47"/>
  <c r="K86" i="47" s="1"/>
  <c r="H89" i="47"/>
  <c r="K89" i="47" s="1"/>
  <c r="H92" i="47"/>
  <c r="K92" i="47" s="1"/>
  <c r="H95" i="47"/>
  <c r="K95" i="47" s="1"/>
  <c r="H98" i="47"/>
  <c r="K98" i="47" s="1"/>
  <c r="H101" i="47"/>
  <c r="K101" i="47" s="1"/>
  <c r="K14" i="47"/>
  <c r="J14" i="47" s="1"/>
  <c r="AC82" i="47"/>
  <c r="AI82" i="47" s="1"/>
  <c r="AC81" i="47"/>
  <c r="AI81" i="47" s="1"/>
  <c r="AC85" i="47"/>
  <c r="AI85" i="47" s="1"/>
  <c r="AJ85" i="47" s="1"/>
  <c r="AC84" i="47"/>
  <c r="AI84" i="47" s="1"/>
  <c r="AC88" i="47"/>
  <c r="AI88" i="47" s="1"/>
  <c r="AC87" i="47"/>
  <c r="AI87" i="47" s="1"/>
  <c r="AC91" i="47"/>
  <c r="AI91" i="47" s="1"/>
  <c r="AC90" i="47"/>
  <c r="AI90" i="47" s="1"/>
  <c r="AC94" i="47"/>
  <c r="AI94" i="47" s="1"/>
  <c r="AC93" i="47"/>
  <c r="AI93" i="47" s="1"/>
  <c r="AC97" i="47"/>
  <c r="AI97" i="47" s="1"/>
  <c r="AJ97" i="47" s="1"/>
  <c r="AC96" i="47"/>
  <c r="AI96" i="47" s="1"/>
  <c r="AC100" i="47"/>
  <c r="AI100" i="47" s="1"/>
  <c r="AC99" i="47"/>
  <c r="AI99" i="47" s="1"/>
  <c r="H87" i="34" l="1"/>
  <c r="G88" i="34"/>
  <c r="K77" i="47"/>
  <c r="J77" i="47" s="1"/>
  <c r="K74" i="47"/>
  <c r="J74" i="47" s="1"/>
  <c r="K71" i="47"/>
  <c r="J71" i="47" s="1"/>
  <c r="K68" i="47"/>
  <c r="J68" i="47" s="1"/>
  <c r="K62" i="47"/>
  <c r="J62" i="47" s="1"/>
  <c r="K59" i="47"/>
  <c r="J59" i="47" s="1"/>
  <c r="K53" i="47"/>
  <c r="J53" i="47" s="1"/>
  <c r="K50" i="47"/>
  <c r="J50" i="47" s="1"/>
  <c r="K47" i="47"/>
  <c r="J47" i="47" s="1"/>
  <c r="K44" i="47"/>
  <c r="J44" i="47" s="1"/>
  <c r="K41" i="47"/>
  <c r="J41" i="47" s="1"/>
  <c r="K38" i="47"/>
  <c r="J38" i="47" s="1"/>
  <c r="K35" i="47"/>
  <c r="J35" i="47" s="1"/>
  <c r="K32" i="47"/>
  <c r="J32" i="47" s="1"/>
  <c r="K29" i="47"/>
  <c r="J29" i="47" s="1"/>
  <c r="K26" i="47"/>
  <c r="J26" i="47" s="1"/>
  <c r="K23" i="47"/>
  <c r="J23" i="47" s="1"/>
  <c r="K17" i="47"/>
  <c r="J17" i="47" s="1"/>
  <c r="J89" i="47"/>
  <c r="I89" i="47" s="1"/>
  <c r="F36" i="34"/>
  <c r="G36" i="34" s="1"/>
  <c r="H36" i="34" s="1"/>
  <c r="I36" i="34" s="1"/>
  <c r="J86" i="47"/>
  <c r="I86" i="47" s="1"/>
  <c r="F35" i="34"/>
  <c r="G35" i="34" s="1"/>
  <c r="H35" i="34" s="1"/>
  <c r="I35" i="34" s="1"/>
  <c r="J83" i="47"/>
  <c r="I83" i="47" s="1"/>
  <c r="F34" i="34"/>
  <c r="G34" i="34" s="1"/>
  <c r="H34" i="34" s="1"/>
  <c r="I34" i="34" s="1"/>
  <c r="J80" i="47"/>
  <c r="I80" i="47" s="1"/>
  <c r="F33" i="34"/>
  <c r="G33" i="34" s="1"/>
  <c r="H33" i="34" s="1"/>
  <c r="J101" i="47"/>
  <c r="F40" i="34"/>
  <c r="G40" i="34" s="1"/>
  <c r="H40" i="34" s="1"/>
  <c r="I40" i="34" s="1"/>
  <c r="J95" i="47"/>
  <c r="I95" i="47" s="1"/>
  <c r="F38" i="34"/>
  <c r="G38" i="34" s="1"/>
  <c r="H38" i="34" s="1"/>
  <c r="I38" i="34" s="1"/>
  <c r="J98" i="47"/>
  <c r="I98" i="47" s="1"/>
  <c r="F39" i="34"/>
  <c r="G39" i="34" s="1"/>
  <c r="H39" i="34" s="1"/>
  <c r="I39" i="34" s="1"/>
  <c r="J92" i="47"/>
  <c r="I92" i="47" s="1"/>
  <c r="F37" i="34"/>
  <c r="G37" i="34" s="1"/>
  <c r="H37" i="34" s="1"/>
  <c r="I37" i="34" s="1"/>
  <c r="J83" i="49"/>
  <c r="J80" i="49"/>
  <c r="J98" i="49"/>
  <c r="AC95" i="47"/>
  <c r="AI95" i="47" s="1"/>
  <c r="AJ95" i="47" s="1"/>
  <c r="AK95" i="47" s="1"/>
  <c r="J95" i="49"/>
  <c r="J92" i="49"/>
  <c r="AC89" i="47"/>
  <c r="AI89" i="47" s="1"/>
  <c r="AJ89" i="47" s="1"/>
  <c r="AK89" i="47" s="1"/>
  <c r="J89" i="49"/>
  <c r="J86" i="49"/>
  <c r="AC98" i="47"/>
  <c r="AI98" i="47" s="1"/>
  <c r="AJ98" i="47" s="1"/>
  <c r="AC86" i="47"/>
  <c r="AI86" i="47" s="1"/>
  <c r="AJ86" i="47" s="1"/>
  <c r="AK86" i="47" s="1"/>
  <c r="AC92" i="47"/>
  <c r="AI92" i="47" s="1"/>
  <c r="AJ92" i="47" s="1"/>
  <c r="AC83" i="47"/>
  <c r="AI83" i="47" s="1"/>
  <c r="AJ83" i="47" s="1"/>
  <c r="AK83" i="47" s="1"/>
  <c r="AC80" i="47"/>
  <c r="AD88" i="47"/>
  <c r="AF88" i="47" s="1"/>
  <c r="AG88" i="47" s="1"/>
  <c r="AD81" i="47"/>
  <c r="AF81" i="47" s="1"/>
  <c r="AG81" i="47" s="1"/>
  <c r="AJ81" i="47"/>
  <c r="AK81" i="47" s="1"/>
  <c r="AD85" i="47"/>
  <c r="AF85" i="47" s="1"/>
  <c r="AG85" i="47" s="1"/>
  <c r="AD82" i="47"/>
  <c r="AF82" i="47" s="1"/>
  <c r="AG82" i="47" s="1"/>
  <c r="AJ82" i="47"/>
  <c r="AK82" i="47" s="1"/>
  <c r="AJ84" i="47"/>
  <c r="AK84" i="47" s="1"/>
  <c r="AK85" i="47"/>
  <c r="AD84" i="47"/>
  <c r="AF84" i="47" s="1"/>
  <c r="AG84" i="47" s="1"/>
  <c r="AJ87" i="47"/>
  <c r="AK87" i="47" s="1"/>
  <c r="AJ88" i="47"/>
  <c r="AK88" i="47" s="1"/>
  <c r="AD87" i="47"/>
  <c r="AF87" i="47" s="1"/>
  <c r="AG87" i="47" s="1"/>
  <c r="AJ90" i="47"/>
  <c r="AK90" i="47" s="1"/>
  <c r="AJ91" i="47"/>
  <c r="AK91" i="47" s="1"/>
  <c r="AD91" i="47"/>
  <c r="AF91" i="47" s="1"/>
  <c r="AG91" i="47" s="1"/>
  <c r="AD90" i="47"/>
  <c r="AF90" i="47" s="1"/>
  <c r="AG90" i="47" s="1"/>
  <c r="AJ93" i="47"/>
  <c r="AK93" i="47" s="1"/>
  <c r="AJ94" i="47"/>
  <c r="AK94" i="47" s="1"/>
  <c r="AD97" i="47"/>
  <c r="AF97" i="47" s="1"/>
  <c r="AG97" i="47" s="1"/>
  <c r="AD94" i="47"/>
  <c r="AF94" i="47" s="1"/>
  <c r="AG94" i="47" s="1"/>
  <c r="AD93" i="47"/>
  <c r="AF93" i="47" s="1"/>
  <c r="AG93" i="47" s="1"/>
  <c r="AJ96" i="47"/>
  <c r="AK96" i="47" s="1"/>
  <c r="AD96" i="47"/>
  <c r="AF96" i="47" s="1"/>
  <c r="AG96" i="47" s="1"/>
  <c r="AK97" i="47"/>
  <c r="AJ99" i="47"/>
  <c r="AK99" i="47" s="1"/>
  <c r="AJ100" i="47"/>
  <c r="AK100" i="47" s="1"/>
  <c r="AD100" i="47"/>
  <c r="AF100" i="47" s="1"/>
  <c r="AG100" i="47" s="1"/>
  <c r="AD99" i="47"/>
  <c r="AF99" i="47" s="1"/>
  <c r="AG99" i="47" s="1"/>
  <c r="X13" i="36"/>
  <c r="X12" i="36"/>
  <c r="I87" i="34" l="1"/>
  <c r="I88" i="34" s="1"/>
  <c r="H88" i="34"/>
  <c r="AD95" i="47"/>
  <c r="AF95" i="47" s="1"/>
  <c r="AG95" i="47" s="1"/>
  <c r="AD86" i="47"/>
  <c r="AF86" i="47" s="1"/>
  <c r="AG86" i="47" s="1"/>
  <c r="AD98" i="47"/>
  <c r="AF98" i="47" s="1"/>
  <c r="AG98" i="47" s="1"/>
  <c r="AD89" i="47"/>
  <c r="AF89" i="47" s="1"/>
  <c r="AG89" i="47" s="1"/>
  <c r="G95" i="49"/>
  <c r="I95" i="49"/>
  <c r="H95" i="49"/>
  <c r="I83" i="49"/>
  <c r="G83" i="49"/>
  <c r="H83" i="49"/>
  <c r="I92" i="49"/>
  <c r="H92" i="49"/>
  <c r="G92" i="49"/>
  <c r="I86" i="49"/>
  <c r="G86" i="49"/>
  <c r="H86" i="49"/>
  <c r="I98" i="49"/>
  <c r="G98" i="49"/>
  <c r="H98" i="49"/>
  <c r="I89" i="49"/>
  <c r="H89" i="49"/>
  <c r="G89" i="49"/>
  <c r="G80" i="49"/>
  <c r="H80" i="49"/>
  <c r="I80" i="49"/>
  <c r="AK98" i="47"/>
  <c r="AD92" i="47"/>
  <c r="AF92" i="47" s="1"/>
  <c r="AG92" i="47" s="1"/>
  <c r="AK92" i="47"/>
  <c r="AD83" i="47"/>
  <c r="AF83" i="47" s="1"/>
  <c r="AG83" i="47" s="1"/>
  <c r="AI80" i="47"/>
  <c r="AD80" i="47"/>
  <c r="AF80" i="47" s="1"/>
  <c r="AG80" i="47" s="1"/>
  <c r="AJ80" i="47" l="1"/>
  <c r="AK80" i="47" s="1"/>
  <c r="V30" i="28" l="1"/>
  <c r="I21" i="43" l="1"/>
  <c r="F20" i="39"/>
  <c r="N13" i="39" l="1"/>
  <c r="N12" i="39"/>
  <c r="G156" i="49" l="1"/>
  <c r="H156" i="49"/>
  <c r="I156" i="49"/>
  <c r="G153" i="49"/>
  <c r="H153" i="49"/>
  <c r="I153" i="49"/>
  <c r="G150" i="49"/>
  <c r="H150" i="49"/>
  <c r="I150" i="49"/>
  <c r="G147" i="49"/>
  <c r="H147" i="49"/>
  <c r="I147" i="49"/>
  <c r="G144" i="49"/>
  <c r="H144" i="49"/>
  <c r="I144" i="49"/>
  <c r="G141" i="49"/>
  <c r="H141" i="49"/>
  <c r="I141" i="49"/>
  <c r="G138" i="49"/>
  <c r="H138" i="49"/>
  <c r="I138" i="49"/>
  <c r="G135" i="49"/>
  <c r="H135" i="49"/>
  <c r="I135" i="49"/>
  <c r="J85" i="30"/>
  <c r="L85" i="30" s="1"/>
  <c r="N85" i="30" s="1"/>
  <c r="M85" i="30"/>
  <c r="H54" i="30"/>
  <c r="D10" i="31" s="1"/>
  <c r="J131" i="34"/>
  <c r="K131" i="34"/>
  <c r="L131" i="34"/>
  <c r="F131" i="34"/>
  <c r="E131" i="34"/>
  <c r="I185" i="49"/>
  <c r="H185" i="49"/>
  <c r="G185" i="49"/>
  <c r="I184" i="49"/>
  <c r="H184" i="49"/>
  <c r="G184" i="49"/>
  <c r="J299" i="49"/>
  <c r="I298" i="49"/>
  <c r="I299" i="49" s="1"/>
  <c r="I300" i="49" s="1"/>
  <c r="H298" i="49"/>
  <c r="H299" i="49" s="1"/>
  <c r="H300" i="49" s="1"/>
  <c r="G298" i="49"/>
  <c r="G299" i="49" s="1"/>
  <c r="G300" i="49" s="1"/>
  <c r="I297" i="49"/>
  <c r="H297" i="49"/>
  <c r="G297" i="49"/>
  <c r="I296" i="49"/>
  <c r="H296" i="49"/>
  <c r="G296" i="49"/>
  <c r="F187" i="49"/>
  <c r="F188" i="49" s="1"/>
  <c r="F165" i="49"/>
  <c r="G76" i="34"/>
  <c r="G80" i="34" s="1"/>
  <c r="H76" i="34"/>
  <c r="H80" i="34" s="1"/>
  <c r="I76" i="34"/>
  <c r="I80" i="34" s="1"/>
  <c r="J76" i="34"/>
  <c r="J80" i="34" s="1"/>
  <c r="K76" i="34"/>
  <c r="K80" i="34" s="1"/>
  <c r="L76" i="34"/>
  <c r="L80" i="34" s="1"/>
  <c r="M76" i="34"/>
  <c r="M80" i="34" s="1"/>
  <c r="F76" i="34"/>
  <c r="F80" i="34" s="1"/>
  <c r="E7" i="31" l="1"/>
  <c r="F7" i="31"/>
  <c r="U18" i="10"/>
  <c r="AA18" i="10" s="1"/>
  <c r="Q18" i="10"/>
  <c r="P18" i="10" s="1"/>
  <c r="S106" i="47"/>
  <c r="Q106" i="47"/>
  <c r="P106" i="47" s="1"/>
  <c r="T106" i="47" l="1"/>
  <c r="U106" i="47" s="1"/>
  <c r="W106" i="47" s="1"/>
  <c r="X106" i="47" s="1"/>
  <c r="Y106" i="47" s="1"/>
  <c r="Z106" i="47" s="1"/>
  <c r="AA106" i="47" s="1"/>
  <c r="O43" i="44" l="1"/>
  <c r="O40" i="44"/>
  <c r="O34" i="44"/>
  <c r="K56" i="35" l="1"/>
  <c r="F45" i="35"/>
  <c r="F49" i="35" s="1"/>
  <c r="K38" i="35"/>
  <c r="K32" i="35"/>
  <c r="K31" i="35"/>
  <c r="K30" i="35"/>
  <c r="K29" i="35"/>
  <c r="K28" i="35"/>
  <c r="K27" i="35"/>
  <c r="K26" i="35"/>
  <c r="K25" i="35"/>
  <c r="K22" i="35"/>
  <c r="K21" i="35"/>
  <c r="K20" i="35"/>
  <c r="J19" i="35"/>
  <c r="K19" i="35" s="1"/>
  <c r="K18" i="35"/>
  <c r="K17" i="35"/>
  <c r="K16" i="35"/>
  <c r="K15" i="35"/>
  <c r="K14" i="35"/>
  <c r="K13" i="35"/>
  <c r="M10" i="35"/>
  <c r="K10" i="35"/>
  <c r="N9" i="35"/>
  <c r="K9" i="35"/>
  <c r="N8" i="35"/>
  <c r="K8" i="35"/>
  <c r="N7" i="35"/>
  <c r="K7" i="35"/>
  <c r="N6" i="35"/>
  <c r="K6" i="35"/>
  <c r="K33" i="35" l="1"/>
  <c r="J34" i="35"/>
  <c r="J36" i="35" s="1"/>
  <c r="L37" i="35" l="1"/>
  <c r="K39" i="35"/>
  <c r="K36" i="35" s="1"/>
  <c r="K34" i="35"/>
  <c r="J129" i="30"/>
  <c r="F31" i="37"/>
  <c r="E31" i="37"/>
  <c r="F28" i="37"/>
  <c r="E28" i="37"/>
  <c r="F24" i="37"/>
  <c r="E24" i="37"/>
  <c r="L129" i="30" l="1"/>
  <c r="G24" i="31"/>
  <c r="F28" i="31"/>
  <c r="E24" i="31"/>
  <c r="F24" i="31" s="1"/>
  <c r="E21" i="37"/>
  <c r="X11" i="36" l="1"/>
  <c r="N129" i="30" l="1"/>
  <c r="I129" i="30"/>
  <c r="K129" i="30" s="1"/>
  <c r="F279" i="49"/>
  <c r="G156" i="34"/>
  <c r="G157" i="34" s="1"/>
  <c r="H156" i="34"/>
  <c r="H157" i="34" s="1"/>
  <c r="I156" i="34"/>
  <c r="I157" i="34" s="1"/>
  <c r="L156" i="34"/>
  <c r="L157" i="34" s="1"/>
  <c r="M156" i="34"/>
  <c r="K161" i="34"/>
  <c r="L161" i="34"/>
  <c r="M161" i="34"/>
  <c r="K52" i="34"/>
  <c r="M52" i="34"/>
  <c r="V27" i="28"/>
  <c r="AB27" i="28"/>
  <c r="Q18" i="28"/>
  <c r="R18" i="28" s="1"/>
  <c r="S18" i="28" s="1"/>
  <c r="T18" i="28" s="1"/>
  <c r="U18" i="28" s="1"/>
  <c r="W18" i="28" s="1"/>
  <c r="X18" i="28" s="1"/>
  <c r="Y18" i="28" s="1"/>
  <c r="Z18" i="28" s="1"/>
  <c r="AA18" i="28" s="1"/>
  <c r="J18" i="28"/>
  <c r="J27" i="28" s="1"/>
  <c r="F156" i="34" l="1"/>
  <c r="M129" i="30"/>
  <c r="F157" i="34" l="1"/>
  <c r="K240" i="47" l="1"/>
  <c r="K229" i="47"/>
  <c r="J229" i="47" s="1"/>
  <c r="K221" i="47"/>
  <c r="K183" i="47"/>
  <c r="K186" i="47"/>
  <c r="J186" i="47" s="1"/>
  <c r="K189" i="47"/>
  <c r="J189" i="47" s="1"/>
  <c r="K192" i="47"/>
  <c r="J192" i="47" s="1"/>
  <c r="K195" i="47"/>
  <c r="J195" i="47" s="1"/>
  <c r="K198" i="47"/>
  <c r="J198" i="47" s="1"/>
  <c r="K180" i="47"/>
  <c r="R19" i="34"/>
  <c r="R27" i="34"/>
  <c r="R28" i="34" s="1"/>
  <c r="R29" i="34" s="1"/>
  <c r="P25" i="34"/>
  <c r="P26" i="34" s="1"/>
  <c r="J180" i="47" l="1"/>
  <c r="K201" i="47"/>
  <c r="J240" i="47"/>
  <c r="J243" i="47" s="1"/>
  <c r="K243" i="47"/>
  <c r="J221" i="47"/>
  <c r="J224" i="47" s="1"/>
  <c r="K224" i="47"/>
  <c r="J183" i="47"/>
  <c r="J176" i="47"/>
  <c r="K176" i="47"/>
  <c r="J171" i="47"/>
  <c r="K171" i="47"/>
  <c r="J166" i="47"/>
  <c r="K166" i="47"/>
  <c r="J156" i="47"/>
  <c r="K156" i="47"/>
  <c r="J161" i="47"/>
  <c r="K161" i="47"/>
  <c r="J104" i="47"/>
  <c r="J177" i="47" s="1"/>
  <c r="K104" i="47"/>
  <c r="K177" i="47" s="1"/>
  <c r="E80" i="34"/>
  <c r="J201" i="47" l="1"/>
  <c r="G122" i="34"/>
  <c r="G132" i="34" s="1"/>
  <c r="H122" i="34"/>
  <c r="H132" i="34" s="1"/>
  <c r="I122" i="34"/>
  <c r="I132" i="34" s="1"/>
  <c r="J122" i="34"/>
  <c r="J132" i="34" s="1"/>
  <c r="K122" i="34"/>
  <c r="K132" i="34" s="1"/>
  <c r="K133" i="34" s="1"/>
  <c r="M122" i="34"/>
  <c r="D49" i="43"/>
  <c r="F49" i="43" s="1"/>
  <c r="D59" i="43"/>
  <c r="D60" i="43" s="1"/>
  <c r="C29" i="43"/>
  <c r="C26" i="43"/>
  <c r="K23" i="43"/>
  <c r="L23" i="43" s="1"/>
  <c r="D23" i="43" s="1"/>
  <c r="L5" i="43"/>
  <c r="K7" i="43"/>
  <c r="D5" i="43" s="1"/>
  <c r="D15" i="43" s="1"/>
  <c r="D30" i="43" l="1"/>
  <c r="D26" i="43"/>
  <c r="F23" i="43"/>
  <c r="F26" i="43" s="1"/>
  <c r="K251" i="47"/>
  <c r="J251" i="47"/>
  <c r="H10" i="39"/>
  <c r="I10" i="39" s="1"/>
  <c r="H12" i="39"/>
  <c r="I12" i="39" s="1"/>
  <c r="H16" i="39"/>
  <c r="I16" i="39" s="1"/>
  <c r="H18" i="39"/>
  <c r="I18" i="39" s="1"/>
  <c r="E11" i="52" l="1"/>
  <c r="D11" i="52"/>
  <c r="F10" i="52"/>
  <c r="F9" i="52"/>
  <c r="H9" i="52" s="1"/>
  <c r="F19" i="51"/>
  <c r="E20" i="51"/>
  <c r="D20" i="51"/>
  <c r="F7" i="51"/>
  <c r="H7" i="51" s="1"/>
  <c r="F8" i="51"/>
  <c r="H8" i="51" s="1"/>
  <c r="F9" i="51"/>
  <c r="H9" i="51" s="1"/>
  <c r="F10" i="51"/>
  <c r="H10" i="51" s="1"/>
  <c r="F11" i="51"/>
  <c r="H11" i="51" s="1"/>
  <c r="F12" i="51"/>
  <c r="H12" i="51" s="1"/>
  <c r="F13" i="51"/>
  <c r="H13" i="51" s="1"/>
  <c r="F14" i="51"/>
  <c r="H14" i="51" s="1"/>
  <c r="F15" i="51"/>
  <c r="H15" i="51" s="1"/>
  <c r="F16" i="51"/>
  <c r="H16" i="51" s="1"/>
  <c r="F17" i="51"/>
  <c r="H17" i="51" s="1"/>
  <c r="F18" i="51"/>
  <c r="H18" i="51" s="1"/>
  <c r="F6" i="51"/>
  <c r="F20" i="51" l="1"/>
  <c r="G7" i="51" s="1"/>
  <c r="H6" i="51"/>
  <c r="F11" i="52"/>
  <c r="H10" i="52"/>
  <c r="G173" i="34"/>
  <c r="E19" i="31"/>
  <c r="F19" i="31" s="1"/>
  <c r="G6" i="31"/>
  <c r="G12" i="31"/>
  <c r="G6" i="52" l="1"/>
  <c r="G7" i="52"/>
  <c r="G8" i="52"/>
  <c r="G16" i="51"/>
  <c r="G10" i="51"/>
  <c r="G9" i="51"/>
  <c r="G11" i="51"/>
  <c r="G18" i="51"/>
  <c r="H20" i="51"/>
  <c r="G17" i="51"/>
  <c r="G12" i="51"/>
  <c r="G13" i="51"/>
  <c r="G15" i="51"/>
  <c r="G6" i="51"/>
  <c r="G14" i="51"/>
  <c r="G8" i="51"/>
  <c r="H11" i="52"/>
  <c r="G10" i="52"/>
  <c r="G9" i="52"/>
  <c r="G20" i="51" l="1"/>
  <c r="G11" i="52"/>
  <c r="J80" i="30"/>
  <c r="L80" i="30" s="1"/>
  <c r="N80" i="30" s="1"/>
  <c r="N138" i="30"/>
  <c r="N140" i="30"/>
  <c r="N142" i="30"/>
  <c r="I108" i="30"/>
  <c r="K108" i="30" s="1"/>
  <c r="J81" i="30"/>
  <c r="L81" i="30" s="1"/>
  <c r="N29" i="30"/>
  <c r="M29" i="30"/>
  <c r="M30" i="30"/>
  <c r="N132" i="30"/>
  <c r="N134" i="30"/>
  <c r="N136" i="30"/>
  <c r="N10" i="30"/>
  <c r="N12" i="30"/>
  <c r="N13" i="30"/>
  <c r="N14" i="30"/>
  <c r="N16" i="30"/>
  <c r="N17" i="30"/>
  <c r="N18" i="30"/>
  <c r="N19" i="30"/>
  <c r="N20" i="30"/>
  <c r="N21" i="30"/>
  <c r="N22" i="30"/>
  <c r="N23" i="30"/>
  <c r="N25" i="30"/>
  <c r="N26" i="30"/>
  <c r="N27" i="30"/>
  <c r="N32" i="30"/>
  <c r="N34" i="30"/>
  <c r="N35" i="30"/>
  <c r="N36" i="30"/>
  <c r="N37" i="30"/>
  <c r="N38" i="30"/>
  <c r="N39" i="30"/>
  <c r="N40" i="30"/>
  <c r="N42" i="30"/>
  <c r="N43" i="30"/>
  <c r="N44" i="30"/>
  <c r="N45" i="30"/>
  <c r="N46" i="30"/>
  <c r="N47" i="30"/>
  <c r="N49" i="30" s="1"/>
  <c r="N48" i="30"/>
  <c r="N50" i="30"/>
  <c r="N51" i="30"/>
  <c r="N52" i="30"/>
  <c r="N53" i="30"/>
  <c r="N55" i="30"/>
  <c r="N56" i="30"/>
  <c r="N57" i="30"/>
  <c r="N58" i="30"/>
  <c r="N60" i="30"/>
  <c r="N61" i="30"/>
  <c r="N62" i="30"/>
  <c r="N63" i="30"/>
  <c r="N64" i="30"/>
  <c r="N65" i="30"/>
  <c r="N66" i="30"/>
  <c r="N68" i="30"/>
  <c r="N70" i="30"/>
  <c r="N71" i="30"/>
  <c r="N74" i="30"/>
  <c r="N75" i="30"/>
  <c r="N76" i="30"/>
  <c r="N82" i="30"/>
  <c r="N83" i="30"/>
  <c r="N84" i="30"/>
  <c r="N86" i="30"/>
  <c r="N87" i="30"/>
  <c r="N88" i="30"/>
  <c r="N89" i="30"/>
  <c r="N90" i="30"/>
  <c r="N93" i="30"/>
  <c r="N94" i="30"/>
  <c r="N95" i="30"/>
  <c r="N96" i="30"/>
  <c r="N97" i="30"/>
  <c r="N98" i="30"/>
  <c r="N100" i="30"/>
  <c r="N102" i="30"/>
  <c r="N103" i="30"/>
  <c r="N104" i="30"/>
  <c r="N105" i="30"/>
  <c r="N106" i="30"/>
  <c r="N107" i="30"/>
  <c r="N109" i="30"/>
  <c r="N111" i="30"/>
  <c r="N112" i="30"/>
  <c r="N116" i="30"/>
  <c r="N117" i="30"/>
  <c r="N118" i="30"/>
  <c r="N119" i="30"/>
  <c r="N121" i="30"/>
  <c r="N122" i="30"/>
  <c r="N123" i="30"/>
  <c r="N124" i="30"/>
  <c r="N125" i="30"/>
  <c r="N126" i="30"/>
  <c r="M10" i="30"/>
  <c r="M12" i="30"/>
  <c r="M13" i="30"/>
  <c r="M14" i="30"/>
  <c r="M16" i="30"/>
  <c r="M17" i="30"/>
  <c r="M18" i="30"/>
  <c r="M19" i="30"/>
  <c r="M20" i="30"/>
  <c r="M21" i="30"/>
  <c r="M22" i="30"/>
  <c r="M23" i="30"/>
  <c r="M26" i="30"/>
  <c r="M27" i="30"/>
  <c r="M31" i="30"/>
  <c r="M32" i="30"/>
  <c r="M34" i="30"/>
  <c r="M35" i="30"/>
  <c r="M36" i="30"/>
  <c r="M37" i="30"/>
  <c r="M38" i="30"/>
  <c r="M39" i="30"/>
  <c r="M40" i="30"/>
  <c r="M42" i="30"/>
  <c r="M43" i="30"/>
  <c r="M44" i="30"/>
  <c r="M45" i="30"/>
  <c r="M46" i="30"/>
  <c r="M47" i="30"/>
  <c r="M49" i="30" s="1"/>
  <c r="M48" i="30"/>
  <c r="M50" i="30"/>
  <c r="M51" i="30"/>
  <c r="M52" i="30"/>
  <c r="M53" i="30"/>
  <c r="M55" i="30"/>
  <c r="M56" i="30"/>
  <c r="M57" i="30"/>
  <c r="M58" i="30"/>
  <c r="M59" i="30"/>
  <c r="M60" i="30"/>
  <c r="M61" i="30"/>
  <c r="M62" i="30"/>
  <c r="M63" i="30"/>
  <c r="M64" i="30"/>
  <c r="M65" i="30"/>
  <c r="M66" i="30"/>
  <c r="M67" i="30"/>
  <c r="M68" i="30"/>
  <c r="M70" i="30"/>
  <c r="M71" i="30"/>
  <c r="M74" i="30"/>
  <c r="M75" i="30"/>
  <c r="M76" i="30"/>
  <c r="M80" i="30"/>
  <c r="M82" i="30"/>
  <c r="M83" i="30"/>
  <c r="M84" i="30"/>
  <c r="M86" i="30"/>
  <c r="M87" i="30"/>
  <c r="M88" i="30"/>
  <c r="M89" i="30"/>
  <c r="M90" i="30"/>
  <c r="M93" i="30"/>
  <c r="M94" i="30"/>
  <c r="M95" i="30"/>
  <c r="M96" i="30"/>
  <c r="M97" i="30"/>
  <c r="M98" i="30"/>
  <c r="M100" i="30"/>
  <c r="M102" i="30"/>
  <c r="M103" i="30"/>
  <c r="M104" i="30"/>
  <c r="M105" i="30"/>
  <c r="M106" i="30"/>
  <c r="M107" i="30"/>
  <c r="M109" i="30"/>
  <c r="M111" i="30"/>
  <c r="M112" i="30"/>
  <c r="M116" i="30"/>
  <c r="M117" i="30"/>
  <c r="M118" i="30"/>
  <c r="M119" i="30"/>
  <c r="M121" i="30"/>
  <c r="M122" i="30"/>
  <c r="M123" i="30"/>
  <c r="M124" i="30"/>
  <c r="M125" i="30"/>
  <c r="M126" i="30"/>
  <c r="M69" i="30" l="1"/>
  <c r="M72" i="30" s="1"/>
  <c r="K72" i="30"/>
  <c r="K73" i="30" s="1"/>
  <c r="I72" i="30"/>
  <c r="I73" i="30" s="1"/>
  <c r="M28" i="30"/>
  <c r="M128" i="30"/>
  <c r="M120" i="30"/>
  <c r="N127" i="30"/>
  <c r="M108" i="30"/>
  <c r="N81" i="30"/>
  <c r="AA227" i="47" l="1"/>
  <c r="AA212" i="47"/>
  <c r="AA209" i="47"/>
  <c r="AA199" i="47"/>
  <c r="AA184" i="47"/>
  <c r="AA181" i="47"/>
  <c r="V201" i="47"/>
  <c r="V206" i="47"/>
  <c r="V214" i="47"/>
  <c r="V232" i="47"/>
  <c r="S14" i="47"/>
  <c r="T14" i="47" s="1"/>
  <c r="Q14" i="47"/>
  <c r="P14" i="47" s="1"/>
  <c r="V244" i="47" l="1"/>
  <c r="N128" i="30"/>
  <c r="U14" i="47"/>
  <c r="W14" i="47" s="1"/>
  <c r="X14" i="47" s="1"/>
  <c r="Y14" i="47" s="1"/>
  <c r="Z14" i="47" s="1"/>
  <c r="I335" i="49"/>
  <c r="I322" i="49"/>
  <c r="I334" i="49" s="1"/>
  <c r="H335" i="49"/>
  <c r="G335" i="49"/>
  <c r="G322" i="49"/>
  <c r="G334" i="49" s="1"/>
  <c r="F308" i="49"/>
  <c r="F310" i="49"/>
  <c r="F311" i="49"/>
  <c r="F314" i="49"/>
  <c r="F307" i="49"/>
  <c r="F290" i="49"/>
  <c r="F293" i="49"/>
  <c r="F266" i="49"/>
  <c r="F269" i="49"/>
  <c r="F276" i="49"/>
  <c r="F283" i="49"/>
  <c r="F286" i="49"/>
  <c r="I250" i="49"/>
  <c r="I253" i="49"/>
  <c r="H250" i="49"/>
  <c r="H253" i="49"/>
  <c r="G250" i="49"/>
  <c r="G253" i="49"/>
  <c r="I243" i="49"/>
  <c r="I246" i="49"/>
  <c r="H243" i="49"/>
  <c r="H246" i="49"/>
  <c r="G243" i="49"/>
  <c r="G246" i="49"/>
  <c r="I193" i="49"/>
  <c r="I196" i="49"/>
  <c r="H193" i="49"/>
  <c r="H196" i="49"/>
  <c r="G193" i="49"/>
  <c r="G196" i="49"/>
  <c r="I173" i="49"/>
  <c r="I174" i="49"/>
  <c r="I177" i="49" s="1"/>
  <c r="I176" i="49"/>
  <c r="I172" i="49"/>
  <c r="H173" i="49"/>
  <c r="H174" i="49"/>
  <c r="H177" i="49" s="1"/>
  <c r="H178" i="49" s="1"/>
  <c r="H176" i="49"/>
  <c r="H172" i="49"/>
  <c r="G173" i="49"/>
  <c r="G174" i="49"/>
  <c r="G177" i="49" s="1"/>
  <c r="G178" i="49" s="1"/>
  <c r="G176" i="49"/>
  <c r="G172" i="49"/>
  <c r="F173" i="49"/>
  <c r="F174" i="49"/>
  <c r="F177" i="49" s="1"/>
  <c r="F176" i="49"/>
  <c r="F172" i="49"/>
  <c r="F166" i="49"/>
  <c r="F169" i="49"/>
  <c r="I114" i="49"/>
  <c r="I116" i="49"/>
  <c r="I117" i="49"/>
  <c r="I119" i="49"/>
  <c r="I120" i="49"/>
  <c r="I122" i="49"/>
  <c r="I123" i="49"/>
  <c r="I125" i="49"/>
  <c r="I126" i="49"/>
  <c r="I129" i="49"/>
  <c r="I113" i="49"/>
  <c r="H114" i="49"/>
  <c r="H116" i="49"/>
  <c r="H117" i="49"/>
  <c r="H119" i="49"/>
  <c r="H120" i="49"/>
  <c r="H122" i="49"/>
  <c r="H123" i="49"/>
  <c r="H125" i="49"/>
  <c r="H126" i="49"/>
  <c r="H129" i="49"/>
  <c r="H113" i="49"/>
  <c r="G114" i="49"/>
  <c r="G116" i="49"/>
  <c r="G117" i="49"/>
  <c r="G119" i="49"/>
  <c r="G120" i="49"/>
  <c r="G122" i="49"/>
  <c r="G123" i="49"/>
  <c r="G125" i="49"/>
  <c r="G126" i="49"/>
  <c r="G129" i="49"/>
  <c r="G113" i="49"/>
  <c r="I109" i="49"/>
  <c r="I107" i="49"/>
  <c r="H109" i="49"/>
  <c r="H107" i="49"/>
  <c r="G109" i="49"/>
  <c r="G107" i="49"/>
  <c r="I347" i="49" l="1"/>
  <c r="F347" i="49"/>
  <c r="G347" i="49"/>
  <c r="H347" i="49"/>
  <c r="J175" i="49"/>
  <c r="F168" i="49"/>
  <c r="J128" i="49"/>
  <c r="I128" i="49" l="1"/>
  <c r="H128" i="49"/>
  <c r="G128" i="49"/>
  <c r="F175" i="49"/>
  <c r="G175" i="49"/>
  <c r="H175" i="49"/>
  <c r="I175" i="49"/>
  <c r="J14" i="49"/>
  <c r="J17" i="49"/>
  <c r="J23" i="49"/>
  <c r="J26" i="49"/>
  <c r="J29" i="49"/>
  <c r="J32" i="49"/>
  <c r="H23" i="49" l="1"/>
  <c r="I23" i="49"/>
  <c r="G23" i="49"/>
  <c r="G17" i="49"/>
  <c r="H17" i="49"/>
  <c r="I17" i="49"/>
  <c r="G32" i="49"/>
  <c r="H32" i="49"/>
  <c r="I32" i="49"/>
  <c r="I29" i="49"/>
  <c r="G29" i="49"/>
  <c r="H29" i="49"/>
  <c r="G14" i="49"/>
  <c r="H14" i="49"/>
  <c r="I14" i="49"/>
  <c r="G26" i="49"/>
  <c r="H26" i="49"/>
  <c r="I26" i="49"/>
  <c r="J187" i="49"/>
  <c r="J188" i="49" s="1"/>
  <c r="K336" i="49"/>
  <c r="K315" i="49"/>
  <c r="K316" i="49" s="1"/>
  <c r="F313" i="49"/>
  <c r="F312" i="49"/>
  <c r="F309" i="49"/>
  <c r="F291" i="49"/>
  <c r="J289" i="49"/>
  <c r="F270" i="49"/>
  <c r="J268" i="49"/>
  <c r="F268" i="49" s="1"/>
  <c r="F267" i="49"/>
  <c r="J265" i="49"/>
  <c r="J254" i="49"/>
  <c r="J262" i="49" s="1"/>
  <c r="J252" i="49"/>
  <c r="J194" i="49"/>
  <c r="J177" i="49"/>
  <c r="J178" i="49" s="1"/>
  <c r="K170" i="49"/>
  <c r="K157" i="49"/>
  <c r="F154" i="49"/>
  <c r="F151" i="49"/>
  <c r="J149" i="49"/>
  <c r="J150" i="49" s="1"/>
  <c r="F148" i="49"/>
  <c r="J146" i="49"/>
  <c r="J147" i="49" s="1"/>
  <c r="F145" i="49"/>
  <c r="J143" i="49"/>
  <c r="J144" i="49" s="1"/>
  <c r="F142" i="49"/>
  <c r="J140" i="49"/>
  <c r="J141" i="49" s="1"/>
  <c r="F139" i="49"/>
  <c r="J137" i="49"/>
  <c r="J138" i="49" s="1"/>
  <c r="F136" i="49"/>
  <c r="J134" i="49"/>
  <c r="J135" i="49" s="1"/>
  <c r="J127" i="49"/>
  <c r="J124" i="49"/>
  <c r="J121" i="49"/>
  <c r="J118" i="49"/>
  <c r="J115" i="49"/>
  <c r="J110" i="49"/>
  <c r="J108" i="49"/>
  <c r="J101" i="49"/>
  <c r="J77" i="49"/>
  <c r="J74" i="49"/>
  <c r="J71" i="49"/>
  <c r="J68" i="49"/>
  <c r="J65" i="49"/>
  <c r="J62" i="49"/>
  <c r="J56" i="49"/>
  <c r="J53" i="49"/>
  <c r="J50" i="49"/>
  <c r="J47" i="49"/>
  <c r="J44" i="49"/>
  <c r="J41" i="49"/>
  <c r="J38" i="49"/>
  <c r="J35" i="49"/>
  <c r="J104" i="49" l="1"/>
  <c r="F315" i="49"/>
  <c r="F316" i="49" s="1"/>
  <c r="F289" i="49"/>
  <c r="J292" i="49"/>
  <c r="F292" i="49" s="1"/>
  <c r="F265" i="49"/>
  <c r="J271" i="49"/>
  <c r="F271" i="49" s="1"/>
  <c r="J155" i="49"/>
  <c r="J156" i="49" s="1"/>
  <c r="F143" i="49"/>
  <c r="F144" i="49" s="1"/>
  <c r="F134" i="49"/>
  <c r="F135" i="49" s="1"/>
  <c r="F146" i="49"/>
  <c r="F147" i="49" s="1"/>
  <c r="F137" i="49"/>
  <c r="F138" i="49" s="1"/>
  <c r="F149" i="49"/>
  <c r="F150" i="49" s="1"/>
  <c r="F140" i="49"/>
  <c r="F141" i="49" s="1"/>
  <c r="F152" i="49"/>
  <c r="F153" i="49" s="1"/>
  <c r="F277" i="49"/>
  <c r="J280" i="49"/>
  <c r="F284" i="49"/>
  <c r="G71" i="49"/>
  <c r="H71" i="49"/>
  <c r="I71" i="49"/>
  <c r="I249" i="49"/>
  <c r="I252" i="49" s="1"/>
  <c r="H249" i="49"/>
  <c r="H252" i="49" s="1"/>
  <c r="G249" i="49"/>
  <c r="G252" i="49" s="1"/>
  <c r="G35" i="49"/>
  <c r="H35" i="49"/>
  <c r="I35" i="49"/>
  <c r="G62" i="49"/>
  <c r="H62" i="49"/>
  <c r="I62" i="49"/>
  <c r="I251" i="49"/>
  <c r="I254" i="49" s="1"/>
  <c r="H251" i="49"/>
  <c r="H254" i="49" s="1"/>
  <c r="G251" i="49"/>
  <c r="G254" i="49" s="1"/>
  <c r="I121" i="49"/>
  <c r="H121" i="49"/>
  <c r="G121" i="49"/>
  <c r="H351" i="49"/>
  <c r="G351" i="49"/>
  <c r="H38" i="49"/>
  <c r="G38" i="49"/>
  <c r="I38" i="49"/>
  <c r="G50" i="49"/>
  <c r="H50" i="49"/>
  <c r="I50" i="49"/>
  <c r="H65" i="49"/>
  <c r="I65" i="49"/>
  <c r="G65" i="49"/>
  <c r="G77" i="49"/>
  <c r="H77" i="49"/>
  <c r="I77" i="49"/>
  <c r="G124" i="49"/>
  <c r="I124" i="49"/>
  <c r="H124" i="49"/>
  <c r="I44" i="49"/>
  <c r="G44" i="49"/>
  <c r="H44" i="49"/>
  <c r="H110" i="49"/>
  <c r="I110" i="49"/>
  <c r="G110" i="49"/>
  <c r="J130" i="49"/>
  <c r="G115" i="49"/>
  <c r="I115" i="49"/>
  <c r="H115" i="49"/>
  <c r="H127" i="49"/>
  <c r="G127" i="49"/>
  <c r="I127" i="49"/>
  <c r="H194" i="49"/>
  <c r="I194" i="49"/>
  <c r="G194" i="49"/>
  <c r="G41" i="49"/>
  <c r="H41" i="49"/>
  <c r="I41" i="49"/>
  <c r="I53" i="49"/>
  <c r="G53" i="49"/>
  <c r="H53" i="49"/>
  <c r="G68" i="49"/>
  <c r="H68" i="49"/>
  <c r="I68" i="49"/>
  <c r="H101" i="49"/>
  <c r="I101" i="49"/>
  <c r="G101" i="49"/>
  <c r="H242" i="49"/>
  <c r="H245" i="49" s="1"/>
  <c r="G242" i="49"/>
  <c r="G245" i="49" s="1"/>
  <c r="I242" i="49"/>
  <c r="I245" i="49" s="1"/>
  <c r="J111" i="49"/>
  <c r="I108" i="49"/>
  <c r="G108" i="49"/>
  <c r="H108" i="49"/>
  <c r="F170" i="49"/>
  <c r="F167" i="49"/>
  <c r="H244" i="49"/>
  <c r="G244" i="49"/>
  <c r="I244" i="49"/>
  <c r="I247" i="49" s="1"/>
  <c r="I262" i="49" s="1"/>
  <c r="H74" i="49"/>
  <c r="I74" i="49"/>
  <c r="G74" i="49"/>
  <c r="H56" i="49"/>
  <c r="I56" i="49"/>
  <c r="G56" i="49"/>
  <c r="G47" i="49"/>
  <c r="H47" i="49"/>
  <c r="I47" i="49"/>
  <c r="I118" i="49"/>
  <c r="G118" i="49"/>
  <c r="H118" i="49"/>
  <c r="F294" i="49"/>
  <c r="F157" i="49"/>
  <c r="K254" i="49"/>
  <c r="K178" i="49"/>
  <c r="K104" i="49"/>
  <c r="I157" i="49"/>
  <c r="I178" i="49" s="1"/>
  <c r="K247" i="49"/>
  <c r="K197" i="49"/>
  <c r="J197" i="49"/>
  <c r="K347" i="49"/>
  <c r="F178" i="49" l="1"/>
  <c r="F179" i="49" s="1"/>
  <c r="F205" i="49" s="1"/>
  <c r="G104" i="49"/>
  <c r="I104" i="49"/>
  <c r="H104" i="49"/>
  <c r="G247" i="49"/>
  <c r="H247" i="49"/>
  <c r="F280" i="49"/>
  <c r="J300" i="49"/>
  <c r="J301" i="49" s="1"/>
  <c r="I301" i="49"/>
  <c r="J131" i="49"/>
  <c r="J179" i="49" s="1"/>
  <c r="J205" i="49" s="1"/>
  <c r="F155" i="49"/>
  <c r="F156" i="49" s="1"/>
  <c r="F287" i="49"/>
  <c r="G317" i="49"/>
  <c r="G318" i="49" s="1"/>
  <c r="H317" i="49"/>
  <c r="H318" i="49" s="1"/>
  <c r="G130" i="49"/>
  <c r="I130" i="49"/>
  <c r="H130" i="49"/>
  <c r="I317" i="49"/>
  <c r="I318" i="49" s="1"/>
  <c r="G197" i="49"/>
  <c r="H197" i="49"/>
  <c r="I197" i="49"/>
  <c r="H111" i="49"/>
  <c r="I111" i="49"/>
  <c r="G111" i="49"/>
  <c r="J317" i="49"/>
  <c r="J318" i="49" s="1"/>
  <c r="K130" i="49"/>
  <c r="K317" i="49"/>
  <c r="K318" i="49" s="1"/>
  <c r="K111" i="49"/>
  <c r="H262" i="49" l="1"/>
  <c r="H301" i="49" s="1"/>
  <c r="G262" i="49"/>
  <c r="G301" i="49" s="1"/>
  <c r="F317" i="49"/>
  <c r="F318" i="49" s="1"/>
  <c r="F351" i="49"/>
  <c r="F300" i="49"/>
  <c r="F301" i="49" s="1"/>
  <c r="F303" i="49" s="1"/>
  <c r="G131" i="49"/>
  <c r="G179" i="49" s="1"/>
  <c r="G205" i="49" s="1"/>
  <c r="H131" i="49"/>
  <c r="H179" i="49" s="1"/>
  <c r="H205" i="49" s="1"/>
  <c r="I131" i="49"/>
  <c r="I179" i="49" s="1"/>
  <c r="I205" i="49" s="1"/>
  <c r="M104" i="49"/>
  <c r="K131" i="49"/>
  <c r="K179" i="49" s="1"/>
  <c r="K205" i="49" s="1"/>
  <c r="K301" i="49"/>
  <c r="K303" i="49" s="1"/>
  <c r="J303" i="49"/>
  <c r="F348" i="49" l="1"/>
  <c r="G303" i="49"/>
  <c r="I303" i="49"/>
  <c r="H303" i="49"/>
  <c r="K350" i="49" l="1"/>
  <c r="J130" i="30" l="1"/>
  <c r="J131" i="30" s="1"/>
  <c r="J108" i="30"/>
  <c r="L108" i="30" s="1"/>
  <c r="I79" i="30"/>
  <c r="K79" i="30" s="1"/>
  <c r="M79" i="30" s="1"/>
  <c r="H24" i="30"/>
  <c r="J24" i="30" s="1"/>
  <c r="L24" i="30" s="1"/>
  <c r="J11" i="30"/>
  <c r="L11" i="30" s="1"/>
  <c r="I11" i="30"/>
  <c r="K11" i="30" s="1"/>
  <c r="L130" i="30" l="1"/>
  <c r="L131" i="30" s="1"/>
  <c r="N11" i="30"/>
  <c r="N108" i="30"/>
  <c r="F46" i="44"/>
  <c r="N24" i="30" l="1"/>
  <c r="M11" i="30"/>
  <c r="N130" i="30" l="1"/>
  <c r="N131" i="30" s="1"/>
  <c r="L127" i="34"/>
  <c r="L128" i="34" s="1"/>
  <c r="E127" i="34"/>
  <c r="E128" i="34" s="1"/>
  <c r="E85" i="34"/>
  <c r="F84" i="34"/>
  <c r="F85" i="34" l="1"/>
  <c r="G84" i="34"/>
  <c r="H69" i="30"/>
  <c r="E5" i="31" s="1"/>
  <c r="J51" i="34"/>
  <c r="J52" i="34" s="1"/>
  <c r="J275" i="49"/>
  <c r="J278" i="49" s="1"/>
  <c r="F278" i="49" s="1"/>
  <c r="M71" i="34"/>
  <c r="I163" i="34"/>
  <c r="G114" i="30"/>
  <c r="M114" i="30" s="1"/>
  <c r="L140" i="34"/>
  <c r="AB232" i="47"/>
  <c r="AC232" i="47" s="1"/>
  <c r="L118" i="34"/>
  <c r="L117" i="34"/>
  <c r="L119" i="34" s="1"/>
  <c r="E118" i="34"/>
  <c r="E117" i="34"/>
  <c r="F50" i="34"/>
  <c r="G50" i="34" s="1"/>
  <c r="H50" i="34" s="1"/>
  <c r="F43" i="34"/>
  <c r="G43" i="34" s="1"/>
  <c r="H43" i="34" s="1"/>
  <c r="E44" i="34"/>
  <c r="H84" i="34" l="1"/>
  <c r="H85" i="34" s="1"/>
  <c r="G85" i="34"/>
  <c r="E119" i="34"/>
  <c r="O141" i="34"/>
  <c r="G78" i="30"/>
  <c r="M78" i="30" s="1"/>
  <c r="L69" i="30"/>
  <c r="L124" i="34"/>
  <c r="L125" i="34" s="1"/>
  <c r="L121" i="34"/>
  <c r="L122" i="34" s="1"/>
  <c r="F122" i="34"/>
  <c r="H72" i="30"/>
  <c r="E122" i="34"/>
  <c r="I20" i="39" s="1"/>
  <c r="F275" i="49"/>
  <c r="N78" i="30"/>
  <c r="I43" i="34"/>
  <c r="H33" i="30"/>
  <c r="J33" i="30" s="1"/>
  <c r="L33" i="30" s="1"/>
  <c r="I50" i="34"/>
  <c r="H28" i="30"/>
  <c r="H64" i="34"/>
  <c r="M15" i="30"/>
  <c r="M72" i="34"/>
  <c r="M89" i="34" s="1"/>
  <c r="L64" i="34"/>
  <c r="L67" i="34" s="1"/>
  <c r="L61" i="34"/>
  <c r="L60" i="34"/>
  <c r="L59" i="34"/>
  <c r="L58" i="34"/>
  <c r="L57" i="34"/>
  <c r="L56" i="34"/>
  <c r="L55" i="34"/>
  <c r="E61" i="34"/>
  <c r="E60" i="34"/>
  <c r="E59" i="34"/>
  <c r="E58" i="34"/>
  <c r="E57" i="34"/>
  <c r="E56" i="34"/>
  <c r="E55" i="34"/>
  <c r="F49" i="34"/>
  <c r="G49" i="34" s="1"/>
  <c r="H49" i="34" s="1"/>
  <c r="F48" i="34"/>
  <c r="G48" i="34" s="1"/>
  <c r="H48" i="34" s="1"/>
  <c r="F47" i="34"/>
  <c r="G47" i="34" s="1"/>
  <c r="H47" i="34" s="1"/>
  <c r="F46" i="34"/>
  <c r="L72" i="30" l="1"/>
  <c r="F5" i="31"/>
  <c r="D5" i="31"/>
  <c r="F132" i="34"/>
  <c r="H92" i="30"/>
  <c r="N92" i="30" s="1"/>
  <c r="G46" i="34"/>
  <c r="H46" i="34" s="1"/>
  <c r="H30" i="30"/>
  <c r="D4" i="31" s="1"/>
  <c r="L132" i="34"/>
  <c r="I64" i="34"/>
  <c r="I67" i="34" s="1"/>
  <c r="H67" i="34"/>
  <c r="F22" i="39"/>
  <c r="G92" i="30"/>
  <c r="N59" i="30"/>
  <c r="J54" i="30"/>
  <c r="E10" i="31" s="1"/>
  <c r="I47" i="34"/>
  <c r="I48" i="34"/>
  <c r="I49" i="34"/>
  <c r="N33" i="30"/>
  <c r="J72" i="30"/>
  <c r="I84" i="34"/>
  <c r="I85" i="34" s="1"/>
  <c r="N15" i="30"/>
  <c r="N114" i="30"/>
  <c r="F51" i="34"/>
  <c r="E62" i="34"/>
  <c r="F62" i="34"/>
  <c r="J30" i="30" l="1"/>
  <c r="L30" i="30" s="1"/>
  <c r="H9" i="30"/>
  <c r="N9" i="30" s="1"/>
  <c r="G9" i="30"/>
  <c r="M9" i="30" s="1"/>
  <c r="N31" i="30"/>
  <c r="L54" i="30"/>
  <c r="G5" i="31"/>
  <c r="N69" i="30"/>
  <c r="N72" i="30" s="1"/>
  <c r="G51" i="34"/>
  <c r="L62" i="34"/>
  <c r="L71" i="34" s="1"/>
  <c r="N30" i="30" l="1"/>
  <c r="F4" i="31"/>
  <c r="N54" i="30"/>
  <c r="F10" i="31"/>
  <c r="E4" i="31"/>
  <c r="D67" i="43"/>
  <c r="D64" i="43" s="1"/>
  <c r="N28" i="30"/>
  <c r="I46" i="34"/>
  <c r="I51" i="34" s="1"/>
  <c r="H51" i="34"/>
  <c r="F32" i="34"/>
  <c r="G32" i="34" s="1"/>
  <c r="H32" i="34" s="1"/>
  <c r="F31" i="34"/>
  <c r="G31" i="34" s="1"/>
  <c r="H31" i="34" s="1"/>
  <c r="F30" i="34"/>
  <c r="G30" i="34" s="1"/>
  <c r="H30" i="34" s="1"/>
  <c r="F29" i="34"/>
  <c r="G29" i="34" s="1"/>
  <c r="H29" i="34" s="1"/>
  <c r="F28" i="34"/>
  <c r="G28" i="34" s="1"/>
  <c r="H28" i="34" s="1"/>
  <c r="F27" i="34"/>
  <c r="G27" i="34" s="1"/>
  <c r="H27" i="34" s="1"/>
  <c r="F25" i="34"/>
  <c r="G25" i="34" s="1"/>
  <c r="H25" i="34" s="1"/>
  <c r="F24" i="34"/>
  <c r="G24" i="34" s="1"/>
  <c r="H24" i="34" s="1"/>
  <c r="F23" i="34"/>
  <c r="G23" i="34" s="1"/>
  <c r="H23" i="34" s="1"/>
  <c r="F22" i="34"/>
  <c r="G22" i="34" s="1"/>
  <c r="H22" i="34" s="1"/>
  <c r="F21" i="34"/>
  <c r="G21" i="34" s="1"/>
  <c r="H21" i="34" s="1"/>
  <c r="F20" i="34"/>
  <c r="G20" i="34" s="1"/>
  <c r="H20" i="34" s="1"/>
  <c r="F19" i="34"/>
  <c r="G19" i="34" s="1"/>
  <c r="H19" i="34" s="1"/>
  <c r="F18" i="34"/>
  <c r="G18" i="34" s="1"/>
  <c r="H18" i="34" s="1"/>
  <c r="F17" i="34"/>
  <c r="G17" i="34" s="1"/>
  <c r="H17" i="34" s="1"/>
  <c r="F16" i="34"/>
  <c r="G16" i="34" s="1"/>
  <c r="H16" i="34" s="1"/>
  <c r="F15" i="34"/>
  <c r="G15" i="34" s="1"/>
  <c r="H15" i="34" s="1"/>
  <c r="F14" i="34"/>
  <c r="G14" i="34" s="1"/>
  <c r="H14" i="34" s="1"/>
  <c r="F12" i="34"/>
  <c r="G12" i="34" s="1"/>
  <c r="H12" i="34" s="1"/>
  <c r="F11" i="34"/>
  <c r="D70" i="34"/>
  <c r="I32" i="28"/>
  <c r="G11" i="34" l="1"/>
  <c r="H11" i="34" s="1"/>
  <c r="F41" i="34"/>
  <c r="I27" i="34"/>
  <c r="I19" i="34"/>
  <c r="I28" i="34"/>
  <c r="I16" i="34"/>
  <c r="I29" i="34"/>
  <c r="I93" i="34"/>
  <c r="I24" i="34"/>
  <c r="I20" i="34"/>
  <c r="I12" i="34"/>
  <c r="I21" i="34"/>
  <c r="I30" i="34"/>
  <c r="I17" i="34"/>
  <c r="I18" i="34"/>
  <c r="I14" i="34"/>
  <c r="I22" i="34"/>
  <c r="I31" i="34"/>
  <c r="I104" i="34"/>
  <c r="I15" i="34"/>
  <c r="I23" i="34"/>
  <c r="I32" i="34"/>
  <c r="H28" i="28"/>
  <c r="K259" i="47" s="1"/>
  <c r="I25" i="34"/>
  <c r="J79" i="30"/>
  <c r="L79" i="30" s="1"/>
  <c r="G41" i="34" l="1"/>
  <c r="I229" i="47"/>
  <c r="I221" i="47"/>
  <c r="I224" i="47" s="1"/>
  <c r="D201" i="47"/>
  <c r="I186" i="47"/>
  <c r="I183" i="47"/>
  <c r="I189" i="47"/>
  <c r="I192" i="47"/>
  <c r="I195" i="47"/>
  <c r="I198" i="47"/>
  <c r="I158" i="47"/>
  <c r="I161" i="47" s="1"/>
  <c r="I147" i="47"/>
  <c r="I150" i="47"/>
  <c r="I153" i="47"/>
  <c r="I144" i="47"/>
  <c r="I139" i="47"/>
  <c r="I106" i="47"/>
  <c r="I17" i="47"/>
  <c r="I26" i="47"/>
  <c r="I65" i="47"/>
  <c r="I68" i="47"/>
  <c r="I23" i="47"/>
  <c r="I29" i="47"/>
  <c r="I32" i="47"/>
  <c r="I35" i="47"/>
  <c r="I38" i="47"/>
  <c r="I41" i="47"/>
  <c r="I44" i="47"/>
  <c r="I47" i="47"/>
  <c r="I50" i="47"/>
  <c r="I53" i="47"/>
  <c r="I59" i="47"/>
  <c r="I62" i="47"/>
  <c r="I71" i="47"/>
  <c r="I74" i="47"/>
  <c r="I77" i="47"/>
  <c r="I101" i="47"/>
  <c r="I14" i="47"/>
  <c r="D176" i="47"/>
  <c r="D171" i="47"/>
  <c r="D166" i="47"/>
  <c r="D156" i="47"/>
  <c r="I11" i="34" l="1"/>
  <c r="H41" i="34"/>
  <c r="I33" i="34"/>
  <c r="I156" i="47"/>
  <c r="I104" i="47"/>
  <c r="J15" i="49"/>
  <c r="J16" i="49" s="1"/>
  <c r="N79" i="30"/>
  <c r="I168" i="47"/>
  <c r="I171" i="47" s="1"/>
  <c r="I173" i="47"/>
  <c r="I176" i="47" s="1"/>
  <c r="I180" i="47"/>
  <c r="I201" i="47" s="1"/>
  <c r="E12" i="34"/>
  <c r="J42" i="49"/>
  <c r="J43" i="49" s="1"/>
  <c r="E21" i="34"/>
  <c r="J69" i="49"/>
  <c r="J70" i="49" s="1"/>
  <c r="E30" i="34"/>
  <c r="J45" i="49"/>
  <c r="J46" i="49" s="1"/>
  <c r="E22" i="34"/>
  <c r="J24" i="49"/>
  <c r="J25" i="49" s="1"/>
  <c r="E15" i="34"/>
  <c r="J48" i="49"/>
  <c r="J49" i="49" s="1"/>
  <c r="E23" i="34"/>
  <c r="J75" i="49"/>
  <c r="J76" i="49" s="1"/>
  <c r="E32" i="34"/>
  <c r="I163" i="47"/>
  <c r="I166" i="47" s="1"/>
  <c r="J72" i="49"/>
  <c r="J73" i="49" s="1"/>
  <c r="E31" i="34"/>
  <c r="J27" i="49"/>
  <c r="J28" i="49" s="1"/>
  <c r="E16" i="34"/>
  <c r="J51" i="49"/>
  <c r="J52" i="49" s="1"/>
  <c r="E24" i="34"/>
  <c r="J99" i="49"/>
  <c r="J100" i="49" s="1"/>
  <c r="J30" i="49"/>
  <c r="J31" i="49" s="1"/>
  <c r="E17" i="34"/>
  <c r="J54" i="49"/>
  <c r="J55" i="49" s="1"/>
  <c r="E25" i="34"/>
  <c r="J36" i="49"/>
  <c r="J37" i="49" s="1"/>
  <c r="E19" i="34"/>
  <c r="J63" i="49"/>
  <c r="J64" i="49" s="1"/>
  <c r="E28" i="34"/>
  <c r="I109" i="47"/>
  <c r="I142" i="47" s="1"/>
  <c r="J21" i="49"/>
  <c r="J22" i="49" s="1"/>
  <c r="E14" i="34"/>
  <c r="J33" i="49"/>
  <c r="J34" i="49" s="1"/>
  <c r="E18" i="34"/>
  <c r="E27" i="34"/>
  <c r="J12" i="49"/>
  <c r="J13" i="49" s="1"/>
  <c r="E11" i="34"/>
  <c r="J39" i="49"/>
  <c r="J40" i="49" s="1"/>
  <c r="E20" i="34"/>
  <c r="J66" i="49"/>
  <c r="J67" i="49" s="1"/>
  <c r="E29" i="34"/>
  <c r="I177" i="47" l="1"/>
  <c r="J103" i="49"/>
  <c r="J102" i="49"/>
  <c r="E41" i="34"/>
  <c r="I41" i="34"/>
  <c r="G16" i="49"/>
  <c r="H16" i="49"/>
  <c r="I16" i="49"/>
  <c r="G43" i="49"/>
  <c r="I43" i="49"/>
  <c r="H43" i="49"/>
  <c r="G13" i="49"/>
  <c r="I13" i="49"/>
  <c r="H13" i="49"/>
  <c r="H31" i="49"/>
  <c r="G31" i="49"/>
  <c r="I31" i="49"/>
  <c r="I25" i="49"/>
  <c r="G25" i="49"/>
  <c r="H25" i="49"/>
  <c r="H100" i="49"/>
  <c r="I100" i="49"/>
  <c r="G100" i="49"/>
  <c r="H64" i="49"/>
  <c r="G64" i="49"/>
  <c r="I64" i="49"/>
  <c r="H37" i="49"/>
  <c r="I37" i="49"/>
  <c r="G37" i="49"/>
  <c r="I46" i="49"/>
  <c r="H46" i="49"/>
  <c r="G46" i="49"/>
  <c r="I67" i="49"/>
  <c r="G67" i="49"/>
  <c r="H67" i="49"/>
  <c r="H34" i="49"/>
  <c r="I34" i="49"/>
  <c r="G34" i="49"/>
  <c r="G52" i="49"/>
  <c r="I52" i="49"/>
  <c r="H52" i="49"/>
  <c r="I76" i="49"/>
  <c r="G76" i="49"/>
  <c r="H76" i="49"/>
  <c r="I73" i="49"/>
  <c r="G73" i="49"/>
  <c r="H73" i="49"/>
  <c r="H61" i="49"/>
  <c r="I61" i="49"/>
  <c r="G61" i="49"/>
  <c r="H55" i="49"/>
  <c r="G55" i="49"/>
  <c r="I55" i="49"/>
  <c r="G70" i="49"/>
  <c r="H70" i="49"/>
  <c r="I70" i="49"/>
  <c r="I40" i="49"/>
  <c r="G40" i="49"/>
  <c r="H40" i="49"/>
  <c r="I22" i="49"/>
  <c r="G22" i="49"/>
  <c r="H22" i="49"/>
  <c r="I28" i="49"/>
  <c r="G28" i="49"/>
  <c r="H28" i="49"/>
  <c r="G49" i="49"/>
  <c r="I49" i="49"/>
  <c r="H49" i="49"/>
  <c r="I72" i="49"/>
  <c r="G72" i="49"/>
  <c r="H72" i="49"/>
  <c r="G42" i="49"/>
  <c r="H42" i="49"/>
  <c r="I42" i="49"/>
  <c r="I63" i="49"/>
  <c r="G63" i="49"/>
  <c r="H63" i="49"/>
  <c r="G51" i="49"/>
  <c r="H51" i="49"/>
  <c r="I51" i="49"/>
  <c r="G66" i="49"/>
  <c r="H66" i="49"/>
  <c r="I66" i="49"/>
  <c r="H24" i="49"/>
  <c r="I24" i="49"/>
  <c r="G24" i="49"/>
  <c r="H39" i="49"/>
  <c r="I39" i="49"/>
  <c r="G39" i="49"/>
  <c r="H15" i="49"/>
  <c r="I15" i="49"/>
  <c r="G15" i="49"/>
  <c r="G33" i="49"/>
  <c r="H33" i="49"/>
  <c r="I33" i="49"/>
  <c r="I240" i="47"/>
  <c r="I243" i="47" s="1"/>
  <c r="I21" i="49"/>
  <c r="G21" i="49"/>
  <c r="H21" i="49"/>
  <c r="H75" i="49"/>
  <c r="I75" i="49"/>
  <c r="G75" i="49"/>
  <c r="H69" i="49"/>
  <c r="G69" i="49"/>
  <c r="I69" i="49"/>
  <c r="H12" i="49"/>
  <c r="I12" i="49"/>
  <c r="G12" i="49"/>
  <c r="H60" i="49"/>
  <c r="I60" i="49"/>
  <c r="G60" i="49"/>
  <c r="G30" i="49"/>
  <c r="H30" i="49"/>
  <c r="I30" i="49"/>
  <c r="G45" i="49"/>
  <c r="I45" i="49"/>
  <c r="H45" i="49"/>
  <c r="I99" i="49"/>
  <c r="H99" i="49"/>
  <c r="G99" i="49"/>
  <c r="H36" i="49"/>
  <c r="I36" i="49"/>
  <c r="G36" i="49"/>
  <c r="I54" i="49"/>
  <c r="G54" i="49"/>
  <c r="H54" i="49"/>
  <c r="G27" i="49"/>
  <c r="H27" i="49"/>
  <c r="I27" i="49"/>
  <c r="H48" i="49"/>
  <c r="I48" i="49"/>
  <c r="G48" i="49"/>
  <c r="I103" i="49" l="1"/>
  <c r="G102" i="49"/>
  <c r="G103" i="49"/>
  <c r="I102" i="49"/>
  <c r="H102" i="49"/>
  <c r="H103" i="49"/>
  <c r="I251" i="47"/>
  <c r="E8" i="29"/>
  <c r="AA226" i="47"/>
  <c r="AB224" i="47"/>
  <c r="AC224" i="47" s="1"/>
  <c r="D224" i="47"/>
  <c r="J282" i="49" s="1"/>
  <c r="AB214" i="47"/>
  <c r="Q211" i="47"/>
  <c r="U211" i="47" s="1"/>
  <c r="AA211" i="47" s="1"/>
  <c r="Q208" i="47"/>
  <c r="R208" i="47" s="1"/>
  <c r="U208" i="47" s="1"/>
  <c r="AA208" i="47" s="1"/>
  <c r="AB206" i="47"/>
  <c r="AC206" i="47" s="1"/>
  <c r="K203" i="47"/>
  <c r="AB201" i="47"/>
  <c r="Q198" i="47"/>
  <c r="R198" i="47" s="1"/>
  <c r="S198" i="47" s="1"/>
  <c r="T198" i="47" s="1"/>
  <c r="U198" i="47" s="1"/>
  <c r="W198" i="47" s="1"/>
  <c r="X198" i="47" s="1"/>
  <c r="Y198" i="47" s="1"/>
  <c r="Z198" i="47" s="1"/>
  <c r="AA198" i="47" s="1"/>
  <c r="A189" i="47"/>
  <c r="Q183" i="47"/>
  <c r="R183" i="47" s="1"/>
  <c r="S183" i="47" s="1"/>
  <c r="U183" i="47" s="1"/>
  <c r="AA183" i="47" s="1"/>
  <c r="AK106" i="47"/>
  <c r="AJ105" i="47"/>
  <c r="AK105" i="47" s="1"/>
  <c r="AG105" i="47"/>
  <c r="V104" i="47"/>
  <c r="H104" i="47"/>
  <c r="H177" i="47" s="1"/>
  <c r="AC103" i="47"/>
  <c r="AI103" i="47" s="1"/>
  <c r="AC102" i="47"/>
  <c r="AI102" i="47" s="1"/>
  <c r="AC101" i="47"/>
  <c r="AD101" i="47" s="1"/>
  <c r="AC79" i="47"/>
  <c r="AI79" i="47" s="1"/>
  <c r="AC78" i="47"/>
  <c r="AI78" i="47" s="1"/>
  <c r="AC77" i="47"/>
  <c r="AI77" i="47" s="1"/>
  <c r="AC76" i="47"/>
  <c r="AC75" i="47"/>
  <c r="AI75" i="47" s="1"/>
  <c r="AC74" i="47"/>
  <c r="AI74" i="47" s="1"/>
  <c r="AC73" i="47"/>
  <c r="AI73" i="47" s="1"/>
  <c r="AC72" i="47"/>
  <c r="AI72" i="47" s="1"/>
  <c r="AJ72" i="47" s="1"/>
  <c r="AC71" i="47"/>
  <c r="AD71" i="47" s="1"/>
  <c r="AF71" i="47" s="1"/>
  <c r="AG71" i="47" s="1"/>
  <c r="AC70" i="47"/>
  <c r="AI70" i="47" s="1"/>
  <c r="AC69" i="47"/>
  <c r="AI69" i="47" s="1"/>
  <c r="AC68" i="47"/>
  <c r="AI68" i="47" s="1"/>
  <c r="AC67" i="47"/>
  <c r="AI67" i="47" s="1"/>
  <c r="AC66" i="47"/>
  <c r="AI66" i="47" s="1"/>
  <c r="AC65" i="47"/>
  <c r="AI65" i="47" s="1"/>
  <c r="AJ65" i="47" s="1"/>
  <c r="AC64" i="47"/>
  <c r="AI64" i="47" s="1"/>
  <c r="AJ64" i="47" s="1"/>
  <c r="AK64" i="47" s="1"/>
  <c r="AC63" i="47"/>
  <c r="AI63" i="47" s="1"/>
  <c r="AJ63" i="47" s="1"/>
  <c r="AK63" i="47" s="1"/>
  <c r="AC62" i="47"/>
  <c r="AC61" i="47"/>
  <c r="AI61" i="47" s="1"/>
  <c r="AJ61" i="47" s="1"/>
  <c r="AC60" i="47"/>
  <c r="AD60" i="47" s="1"/>
  <c r="AC59" i="47"/>
  <c r="AC55" i="47"/>
  <c r="AI55" i="47" s="1"/>
  <c r="AC54" i="47"/>
  <c r="AI54" i="47" s="1"/>
  <c r="AJ54" i="47" s="1"/>
  <c r="D104" i="47"/>
  <c r="AC53" i="47"/>
  <c r="AI53" i="47" s="1"/>
  <c r="AJ53" i="47" s="1"/>
  <c r="AC52" i="47"/>
  <c r="AI52" i="47" s="1"/>
  <c r="AJ52" i="47" s="1"/>
  <c r="AC51" i="47"/>
  <c r="AI51" i="47" s="1"/>
  <c r="AJ51" i="47" s="1"/>
  <c r="AK51" i="47" s="1"/>
  <c r="AC50" i="47"/>
  <c r="AD50" i="47" s="1"/>
  <c r="AC49" i="47"/>
  <c r="AI49" i="47" s="1"/>
  <c r="AJ49" i="47" s="1"/>
  <c r="AK49" i="47" s="1"/>
  <c r="AC48" i="47"/>
  <c r="AI48" i="47" s="1"/>
  <c r="AC47" i="47"/>
  <c r="AC46" i="47"/>
  <c r="AI46" i="47" s="1"/>
  <c r="AJ46" i="47" s="1"/>
  <c r="AC45" i="47"/>
  <c r="AD45" i="47" s="1"/>
  <c r="AC44" i="47"/>
  <c r="AI44" i="47" s="1"/>
  <c r="AJ44" i="47" s="1"/>
  <c r="AC43" i="47"/>
  <c r="AI43" i="47" s="1"/>
  <c r="AJ43" i="47" s="1"/>
  <c r="AC42" i="47"/>
  <c r="AI42" i="47" s="1"/>
  <c r="AC41" i="47"/>
  <c r="AD41" i="47" s="1"/>
  <c r="AC40" i="47"/>
  <c r="AI40" i="47" s="1"/>
  <c r="AC39" i="47"/>
  <c r="AD39" i="47" s="1"/>
  <c r="AC38" i="47"/>
  <c r="AD38" i="47" s="1"/>
  <c r="AC37" i="47"/>
  <c r="AD37" i="47" s="1"/>
  <c r="AC36" i="47"/>
  <c r="AI36" i="47" s="1"/>
  <c r="AJ36" i="47" s="1"/>
  <c r="AC35" i="47"/>
  <c r="AI35" i="47" s="1"/>
  <c r="AC34" i="47"/>
  <c r="AI34" i="47" s="1"/>
  <c r="AJ34" i="47" s="1"/>
  <c r="AK34" i="47" s="1"/>
  <c r="AC33" i="47"/>
  <c r="AI33" i="47" s="1"/>
  <c r="AC32" i="47"/>
  <c r="AI32" i="47" s="1"/>
  <c r="AC31" i="47"/>
  <c r="AI31" i="47" s="1"/>
  <c r="AC30" i="47"/>
  <c r="AD30" i="47" s="1"/>
  <c r="AC29" i="47"/>
  <c r="AI29" i="47" s="1"/>
  <c r="AJ29" i="47" s="1"/>
  <c r="AK29" i="47" s="1"/>
  <c r="AC28" i="47"/>
  <c r="AD28" i="47" s="1"/>
  <c r="AC27" i="47"/>
  <c r="AI27" i="47" s="1"/>
  <c r="AJ27" i="47" s="1"/>
  <c r="AK27" i="47" s="1"/>
  <c r="AC26" i="47"/>
  <c r="AI26" i="47" s="1"/>
  <c r="AC25" i="47"/>
  <c r="AI25" i="47" s="1"/>
  <c r="AC24" i="47"/>
  <c r="AD24" i="47" s="1"/>
  <c r="AC23" i="47"/>
  <c r="AD23" i="47" s="1"/>
  <c r="AC19" i="47"/>
  <c r="AD19" i="47" s="1"/>
  <c r="AC18" i="47"/>
  <c r="AI18" i="47" s="1"/>
  <c r="AC17" i="47"/>
  <c r="AI17" i="47" s="1"/>
  <c r="AC16" i="47"/>
  <c r="AI16" i="47" s="1"/>
  <c r="AJ16" i="47" s="1"/>
  <c r="AK16" i="47" s="1"/>
  <c r="AC15" i="47"/>
  <c r="AI15" i="47" s="1"/>
  <c r="AC14" i="47"/>
  <c r="AI14" i="47" s="1"/>
  <c r="AA14" i="47"/>
  <c r="AB244" i="47" l="1"/>
  <c r="AC244" i="47" s="1"/>
  <c r="J285" i="49"/>
  <c r="F282" i="49"/>
  <c r="F285" i="49" s="1"/>
  <c r="K208" i="47"/>
  <c r="H214" i="47"/>
  <c r="H244" i="47" s="1"/>
  <c r="H245" i="47" s="1"/>
  <c r="J203" i="47"/>
  <c r="J206" i="47" s="1"/>
  <c r="K206" i="47"/>
  <c r="M102" i="49"/>
  <c r="M103" i="49"/>
  <c r="K226" i="47"/>
  <c r="K211" i="47"/>
  <c r="J211" i="47" s="1"/>
  <c r="I211" i="47" s="1"/>
  <c r="F8" i="29"/>
  <c r="G7" i="31"/>
  <c r="AC104" i="47"/>
  <c r="AI104" i="47" s="1"/>
  <c r="AJ104" i="47" s="1"/>
  <c r="AD43" i="47"/>
  <c r="AF43" i="47" s="1"/>
  <c r="AG43" i="47" s="1"/>
  <c r="AD51" i="47"/>
  <c r="AF51" i="47" s="1"/>
  <c r="AG51" i="47" s="1"/>
  <c r="AD27" i="47"/>
  <c r="AF27" i="47" s="1"/>
  <c r="AG27" i="47" s="1"/>
  <c r="AI30" i="47"/>
  <c r="AJ30" i="47" s="1"/>
  <c r="AI38" i="47"/>
  <c r="AJ38" i="47" s="1"/>
  <c r="AD69" i="47"/>
  <c r="AF69" i="47" s="1"/>
  <c r="AG69" i="47" s="1"/>
  <c r="AD14" i="47"/>
  <c r="AF14" i="47" s="1"/>
  <c r="AG14" i="47" s="1"/>
  <c r="AD16" i="47"/>
  <c r="AF16" i="47" s="1"/>
  <c r="AG16" i="47" s="1"/>
  <c r="AD49" i="47"/>
  <c r="AF49" i="47" s="1"/>
  <c r="AG49" i="47" s="1"/>
  <c r="AI60" i="47"/>
  <c r="AJ60" i="47" s="1"/>
  <c r="AD72" i="47"/>
  <c r="AF72" i="47" s="1"/>
  <c r="AG72" i="47" s="1"/>
  <c r="AK44" i="47"/>
  <c r="AD34" i="47"/>
  <c r="AF34" i="47" s="1"/>
  <c r="AG34" i="47" s="1"/>
  <c r="AF19" i="47"/>
  <c r="AG19" i="47" s="1"/>
  <c r="AD31" i="47"/>
  <c r="AF31" i="47" s="1"/>
  <c r="AG31" i="47" s="1"/>
  <c r="AI37" i="47"/>
  <c r="AJ37" i="47" s="1"/>
  <c r="AD61" i="47"/>
  <c r="AF61" i="47" s="1"/>
  <c r="AG61" i="47" s="1"/>
  <c r="AD63" i="47"/>
  <c r="AF63" i="47" s="1"/>
  <c r="AG63" i="47" s="1"/>
  <c r="AI71" i="47"/>
  <c r="AJ71" i="47" s="1"/>
  <c r="AK71" i="47" s="1"/>
  <c r="AD26" i="47"/>
  <c r="AF26" i="47" s="1"/>
  <c r="AG26" i="47" s="1"/>
  <c r="AD17" i="47"/>
  <c r="AF17" i="47" s="1"/>
  <c r="AG17" i="47" s="1"/>
  <c r="AJ74" i="47"/>
  <c r="AK74" i="47" s="1"/>
  <c r="AJ70" i="47"/>
  <c r="AK70" i="47" s="1"/>
  <c r="AD29" i="47"/>
  <c r="AF29" i="47" s="1"/>
  <c r="AG29" i="47" s="1"/>
  <c r="AD33" i="47"/>
  <c r="AF33" i="47" s="1"/>
  <c r="AG33" i="47" s="1"/>
  <c r="AK54" i="47"/>
  <c r="AD102" i="47"/>
  <c r="AF102" i="47" s="1"/>
  <c r="AG102" i="47" s="1"/>
  <c r="AI19" i="47"/>
  <c r="AJ19" i="47" s="1"/>
  <c r="AF23" i="47"/>
  <c r="AG23" i="47" s="1"/>
  <c r="AF28" i="47"/>
  <c r="AG28" i="47" s="1"/>
  <c r="AD36" i="47"/>
  <c r="AF36" i="47" s="1"/>
  <c r="AG36" i="47" s="1"/>
  <c r="AI45" i="47"/>
  <c r="AJ45" i="47" s="1"/>
  <c r="AK45" i="47" s="1"/>
  <c r="AD53" i="47"/>
  <c r="AF53" i="47" s="1"/>
  <c r="AG53" i="47" s="1"/>
  <c r="AD65" i="47"/>
  <c r="AF65" i="47" s="1"/>
  <c r="AG65" i="47" s="1"/>
  <c r="AD70" i="47"/>
  <c r="AF70" i="47" s="1"/>
  <c r="AG70" i="47" s="1"/>
  <c r="AK72" i="47"/>
  <c r="AD74" i="47"/>
  <c r="AF74" i="47" s="1"/>
  <c r="AG74" i="47" s="1"/>
  <c r="AD79" i="47"/>
  <c r="AF79" i="47" s="1"/>
  <c r="AG79" i="47" s="1"/>
  <c r="AI23" i="47"/>
  <c r="AJ23" i="47" s="1"/>
  <c r="AF37" i="47"/>
  <c r="AG37" i="47" s="1"/>
  <c r="AD52" i="47"/>
  <c r="AF52" i="47" s="1"/>
  <c r="AG52" i="47" s="1"/>
  <c r="AD64" i="47"/>
  <c r="AF64" i="47" s="1"/>
  <c r="AG64" i="47" s="1"/>
  <c r="AD32" i="47"/>
  <c r="AF32" i="47" s="1"/>
  <c r="AG32" i="47" s="1"/>
  <c r="AF38" i="47"/>
  <c r="AG38" i="47" s="1"/>
  <c r="AD42" i="47"/>
  <c r="AF42" i="47" s="1"/>
  <c r="AG42" i="47" s="1"/>
  <c r="AD48" i="47"/>
  <c r="AF48" i="47" s="1"/>
  <c r="AG48" i="47" s="1"/>
  <c r="AD54" i="47"/>
  <c r="AF54" i="47" s="1"/>
  <c r="AG54" i="47" s="1"/>
  <c r="AD18" i="47"/>
  <c r="AF18" i="47" s="1"/>
  <c r="AG18" i="47" s="1"/>
  <c r="AD35" i="47"/>
  <c r="AF35" i="47" s="1"/>
  <c r="AG35" i="47" s="1"/>
  <c r="AK43" i="47"/>
  <c r="AD44" i="47"/>
  <c r="AF44" i="47" s="1"/>
  <c r="AG44" i="47" s="1"/>
  <c r="AJ26" i="47"/>
  <c r="AK26" i="47" s="1"/>
  <c r="AJ35" i="47"/>
  <c r="AK35" i="47" s="1"/>
  <c r="AJ42" i="47"/>
  <c r="AK42" i="47" s="1"/>
  <c r="AJ14" i="47"/>
  <c r="AK14" i="47" s="1"/>
  <c r="AJ25" i="47"/>
  <c r="AK25" i="47" s="1"/>
  <c r="AJ33" i="47"/>
  <c r="AK33" i="47" s="1"/>
  <c r="AJ17" i="47"/>
  <c r="AK17" i="47" s="1"/>
  <c r="AJ15" i="47"/>
  <c r="AK15" i="47" s="1"/>
  <c r="AJ40" i="47"/>
  <c r="AK40" i="47" s="1"/>
  <c r="AJ48" i="47"/>
  <c r="AK48" i="47" s="1"/>
  <c r="AD25" i="47"/>
  <c r="AF25" i="47" s="1"/>
  <c r="AG25" i="47" s="1"/>
  <c r="AD40" i="47"/>
  <c r="AF40" i="47" s="1"/>
  <c r="AG40" i="47" s="1"/>
  <c r="AK61" i="47"/>
  <c r="AD76" i="47"/>
  <c r="AF76" i="47" s="1"/>
  <c r="AG76" i="47" s="1"/>
  <c r="AI76" i="47"/>
  <c r="AK46" i="47"/>
  <c r="AF50" i="47"/>
  <c r="AG50" i="47" s="1"/>
  <c r="AF30" i="47"/>
  <c r="AG30" i="47" s="1"/>
  <c r="AJ31" i="47"/>
  <c r="AK31" i="47" s="1"/>
  <c r="AJ32" i="47"/>
  <c r="AK32" i="47" s="1"/>
  <c r="AF41" i="47"/>
  <c r="AG41" i="47" s="1"/>
  <c r="AF45" i="47"/>
  <c r="AG45" i="47" s="1"/>
  <c r="AI50" i="47"/>
  <c r="AD67" i="47"/>
  <c r="AF67" i="47" s="1"/>
  <c r="AG67" i="47" s="1"/>
  <c r="AD68" i="47"/>
  <c r="AF68" i="47" s="1"/>
  <c r="AG68" i="47" s="1"/>
  <c r="AJ73" i="47"/>
  <c r="AK73" i="47" s="1"/>
  <c r="AJ78" i="47"/>
  <c r="AK78" i="47" s="1"/>
  <c r="AF24" i="47"/>
  <c r="AG24" i="47" s="1"/>
  <c r="AF39" i="47"/>
  <c r="AG39" i="47" s="1"/>
  <c r="AK53" i="47"/>
  <c r="AJ67" i="47"/>
  <c r="AK67" i="47" s="1"/>
  <c r="AJ68" i="47"/>
  <c r="AK68" i="47" s="1"/>
  <c r="AJ18" i="47"/>
  <c r="AK18" i="47" s="1"/>
  <c r="AI59" i="47"/>
  <c r="AD59" i="47"/>
  <c r="AF59" i="47" s="1"/>
  <c r="AG59" i="47" s="1"/>
  <c r="AD62" i="47"/>
  <c r="AF62" i="47" s="1"/>
  <c r="AG62" i="47" s="1"/>
  <c r="AK36" i="47"/>
  <c r="AI41" i="47"/>
  <c r="AI62" i="47"/>
  <c r="AJ79" i="47"/>
  <c r="AK79" i="47" s="1"/>
  <c r="AD47" i="47"/>
  <c r="AF47" i="47" s="1"/>
  <c r="AG47" i="47" s="1"/>
  <c r="AJ55" i="47"/>
  <c r="AK55" i="47" s="1"/>
  <c r="AD15" i="47"/>
  <c r="AF15" i="47" s="1"/>
  <c r="AG15" i="47" s="1"/>
  <c r="AI24" i="47"/>
  <c r="AI28" i="47"/>
  <c r="AI39" i="47"/>
  <c r="AD46" i="47"/>
  <c r="AF46" i="47" s="1"/>
  <c r="AG46" i="47" s="1"/>
  <c r="AI47" i="47"/>
  <c r="AK52" i="47"/>
  <c r="AF60" i="47"/>
  <c r="AG60" i="47" s="1"/>
  <c r="AK65" i="47"/>
  <c r="AJ69" i="47"/>
  <c r="AK69" i="47" s="1"/>
  <c r="AJ103" i="47"/>
  <c r="AK103" i="47" s="1"/>
  <c r="AJ77" i="47"/>
  <c r="AK77" i="47" s="1"/>
  <c r="AD55" i="47"/>
  <c r="AF55" i="47" s="1"/>
  <c r="AG55" i="47" s="1"/>
  <c r="AD66" i="47"/>
  <c r="AF66" i="47" s="1"/>
  <c r="AG66" i="47" s="1"/>
  <c r="AD75" i="47"/>
  <c r="AF75" i="47" s="1"/>
  <c r="AG75" i="47" s="1"/>
  <c r="AJ102" i="47"/>
  <c r="AK102" i="47" s="1"/>
  <c r="AI101" i="47"/>
  <c r="AD78" i="47"/>
  <c r="AF78" i="47" s="1"/>
  <c r="AG78" i="47" s="1"/>
  <c r="AD103" i="47"/>
  <c r="AF103" i="47" s="1"/>
  <c r="AG103" i="47" s="1"/>
  <c r="AJ66" i="47"/>
  <c r="AK66" i="47" s="1"/>
  <c r="AD73" i="47"/>
  <c r="AF73" i="47" s="1"/>
  <c r="AG73" i="47" s="1"/>
  <c r="AJ75" i="47"/>
  <c r="AK75" i="47" s="1"/>
  <c r="AD77" i="47"/>
  <c r="AF77" i="47" s="1"/>
  <c r="AG77" i="47" s="1"/>
  <c r="AF101" i="47"/>
  <c r="AG101" i="47" s="1"/>
  <c r="J226" i="47" l="1"/>
  <c r="K232" i="47"/>
  <c r="J208" i="47"/>
  <c r="J214" i="47" s="1"/>
  <c r="K214" i="47"/>
  <c r="K244" i="47" s="1"/>
  <c r="K245" i="47" s="1"/>
  <c r="AD104" i="47"/>
  <c r="AF104" i="47" s="1"/>
  <c r="AG104" i="47" s="1"/>
  <c r="AK104" i="47"/>
  <c r="AL109" i="47" s="1"/>
  <c r="AK38" i="47"/>
  <c r="AK30" i="47"/>
  <c r="AK19" i="47"/>
  <c r="AK60" i="47"/>
  <c r="AK37" i="47"/>
  <c r="AK23" i="47"/>
  <c r="AJ47" i="47"/>
  <c r="AK47" i="47" s="1"/>
  <c r="AJ50" i="47"/>
  <c r="AK50" i="47" s="1"/>
  <c r="AJ62" i="47"/>
  <c r="AK62" i="47" s="1"/>
  <c r="AJ76" i="47"/>
  <c r="AK76" i="47" s="1"/>
  <c r="AJ39" i="47"/>
  <c r="AK39" i="47" s="1"/>
  <c r="AJ59" i="47"/>
  <c r="AK59" i="47" s="1"/>
  <c r="AJ41" i="47"/>
  <c r="AK41" i="47" s="1"/>
  <c r="AJ28" i="47"/>
  <c r="AK28" i="47" s="1"/>
  <c r="AJ24" i="47"/>
  <c r="AK24" i="47" s="1"/>
  <c r="AJ101" i="47"/>
  <c r="AK101" i="47" s="1"/>
  <c r="I226" i="47" l="1"/>
  <c r="I232" i="47" s="1"/>
  <c r="J232" i="47"/>
  <c r="J244" i="47" s="1"/>
  <c r="J245" i="47" s="1"/>
  <c r="AF108" i="47"/>
  <c r="AI109" i="47" s="1"/>
  <c r="I208" i="47"/>
  <c r="I214" i="47" s="1"/>
  <c r="I203" i="47"/>
  <c r="I206" i="47" s="1"/>
  <c r="I244" i="47" s="1"/>
  <c r="I245" i="47" s="1"/>
  <c r="J248" i="47" l="1"/>
  <c r="F165" i="34"/>
  <c r="H135" i="30" s="1"/>
  <c r="J135" i="30" l="1"/>
  <c r="D7" i="29"/>
  <c r="L135" i="30" l="1"/>
  <c r="F7" i="29" s="1"/>
  <c r="E7" i="29"/>
  <c r="M101" i="30"/>
  <c r="G7" i="29" l="1"/>
  <c r="N135" i="30"/>
  <c r="L139" i="34"/>
  <c r="L141" i="34" l="1"/>
  <c r="L142" i="34" s="1"/>
  <c r="G46" i="44"/>
  <c r="J28" i="28"/>
  <c r="H16" i="44"/>
  <c r="H46" i="44" s="1"/>
  <c r="L143" i="34" l="1"/>
  <c r="J46" i="44"/>
  <c r="O16" i="44"/>
  <c r="P16" i="44" s="1"/>
  <c r="Q16" i="44" s="1"/>
  <c r="R16" i="44" s="1"/>
  <c r="S16" i="44" s="1"/>
  <c r="U16" i="44" s="1"/>
  <c r="V16" i="44" s="1"/>
  <c r="W16" i="44" s="1"/>
  <c r="X16" i="44" s="1"/>
  <c r="AC9" i="44"/>
  <c r="Y16" i="44" l="1"/>
  <c r="C59" i="43" l="1"/>
  <c r="F59" i="43" s="1"/>
  <c r="F60" i="43" s="1"/>
  <c r="G29" i="43"/>
  <c r="C37" i="43"/>
  <c r="F37" i="43" s="1"/>
  <c r="C33" i="43"/>
  <c r="F33" i="43" s="1"/>
  <c r="F40" i="43" s="1"/>
  <c r="F44" i="43" s="1"/>
  <c r="F67" i="43" s="1"/>
  <c r="C5" i="43"/>
  <c r="F5" i="43" s="1"/>
  <c r="F15" i="43" s="1"/>
  <c r="F30" i="43" s="1"/>
  <c r="I35" i="43"/>
  <c r="G66" i="43"/>
  <c r="G52" i="43"/>
  <c r="G51" i="43"/>
  <c r="G23" i="43"/>
  <c r="G26" i="43"/>
  <c r="C19" i="43"/>
  <c r="G18" i="43"/>
  <c r="G19" i="43" s="1"/>
  <c r="C40" i="43" l="1"/>
  <c r="C15" i="43"/>
  <c r="C60" i="43"/>
  <c r="G57" i="43" s="1"/>
  <c r="C44" i="43"/>
  <c r="G28" i="43"/>
  <c r="G10" i="43" l="1"/>
  <c r="G12" i="43"/>
  <c r="G5" i="43"/>
  <c r="C30" i="43"/>
  <c r="F64" i="43"/>
  <c r="G59" i="43"/>
  <c r="G58" i="43"/>
  <c r="C67" i="43"/>
  <c r="C64" i="43" s="1"/>
  <c r="G60" i="43"/>
  <c r="G56" i="43"/>
  <c r="G55" i="43"/>
  <c r="G33" i="43"/>
  <c r="G30" i="43"/>
  <c r="G9" i="43"/>
  <c r="G6" i="43"/>
  <c r="G7" i="43"/>
  <c r="G8" i="43"/>
  <c r="G13" i="43"/>
  <c r="G11" i="43"/>
  <c r="G14" i="43"/>
  <c r="G15" i="43" l="1"/>
  <c r="G37" i="43"/>
  <c r="G36" i="43"/>
  <c r="G39" i="43"/>
  <c r="G44" i="43"/>
  <c r="G35" i="43"/>
  <c r="G34" i="43"/>
  <c r="G40" i="43"/>
  <c r="G38" i="43"/>
  <c r="H8" i="39"/>
  <c r="I8" i="39" s="1"/>
  <c r="K152" i="34" l="1"/>
  <c r="K151" i="34"/>
  <c r="L144" i="34"/>
  <c r="M144" i="34"/>
  <c r="J105" i="34"/>
  <c r="L105" i="34"/>
  <c r="M105" i="34"/>
  <c r="M114" i="34" s="1"/>
  <c r="L44" i="34"/>
  <c r="L114" i="34" l="1"/>
  <c r="L133" i="34" s="1"/>
  <c r="J114" i="34"/>
  <c r="J133" i="34" s="1"/>
  <c r="K155" i="34"/>
  <c r="K156" i="34" s="1"/>
  <c r="K157" i="34" s="1"/>
  <c r="K135" i="34"/>
  <c r="L52" i="34"/>
  <c r="L72" i="34" l="1"/>
  <c r="L89" i="34" s="1"/>
  <c r="J135" i="34"/>
  <c r="L135" i="34"/>
  <c r="L166" i="34" l="1"/>
  <c r="J156" i="34"/>
  <c r="J157" i="34" s="1"/>
  <c r="L173" i="34" l="1"/>
  <c r="K70" i="34"/>
  <c r="K71" i="34" s="1"/>
  <c r="K72" i="34" s="1"/>
  <c r="K89" i="34" s="1"/>
  <c r="F115" i="30"/>
  <c r="I81" i="30"/>
  <c r="F67" i="30"/>
  <c r="F110" i="30"/>
  <c r="F131" i="30"/>
  <c r="I130" i="30" l="1"/>
  <c r="K81" i="30"/>
  <c r="K166" i="34"/>
  <c r="H131" i="30"/>
  <c r="J110" i="30"/>
  <c r="K110" i="30"/>
  <c r="F16" i="31"/>
  <c r="D7" i="37"/>
  <c r="E16" i="31"/>
  <c r="F70" i="34"/>
  <c r="F71" i="34" s="1"/>
  <c r="J70" i="34"/>
  <c r="I110" i="30"/>
  <c r="G110" i="30"/>
  <c r="H110" i="30"/>
  <c r="D9" i="37" l="1"/>
  <c r="G7" i="37"/>
  <c r="D8" i="29"/>
  <c r="G8" i="29" s="1"/>
  <c r="K130" i="30"/>
  <c r="K131" i="30" s="1"/>
  <c r="I131" i="30"/>
  <c r="I141" i="30" s="1"/>
  <c r="J71" i="34"/>
  <c r="J72" i="34" s="1"/>
  <c r="J89" i="34" s="1"/>
  <c r="M110" i="30"/>
  <c r="M54" i="30"/>
  <c r="M81" i="30"/>
  <c r="L110" i="30"/>
  <c r="D16" i="31" l="1"/>
  <c r="G16" i="31" s="1"/>
  <c r="G9" i="37"/>
  <c r="M130" i="30"/>
  <c r="M131" i="30" s="1"/>
  <c r="N110" i="30"/>
  <c r="D15" i="37" l="1"/>
  <c r="L139" i="30"/>
  <c r="J139" i="30"/>
  <c r="J21" i="10"/>
  <c r="I15" i="10"/>
  <c r="D17" i="37" l="1"/>
  <c r="H139" i="30" s="1"/>
  <c r="N139" i="30" s="1"/>
  <c r="G15" i="37"/>
  <c r="G17" i="37" s="1"/>
  <c r="G4" i="37" l="1"/>
  <c r="T18" i="36"/>
  <c r="T20" i="36" s="1"/>
  <c r="T19" i="36"/>
  <c r="T22" i="36" s="1"/>
  <c r="U19" i="36" l="1"/>
  <c r="U22" i="36" s="1"/>
  <c r="U18" i="36"/>
  <c r="U20" i="36" s="1"/>
  <c r="J144" i="34" l="1"/>
  <c r="J166" i="34" s="1"/>
  <c r="I172" i="34" s="1"/>
  <c r="F73" i="30"/>
  <c r="M92" i="30"/>
  <c r="F44" i="34" l="1"/>
  <c r="G44" i="34"/>
  <c r="I139" i="34"/>
  <c r="I141" i="34" s="1"/>
  <c r="I142" i="34" s="1"/>
  <c r="G62" i="34" l="1"/>
  <c r="G71" i="34" s="1"/>
  <c r="H165" i="34"/>
  <c r="H139" i="34"/>
  <c r="H141" i="34" s="1"/>
  <c r="H142" i="34" s="1"/>
  <c r="I44" i="34"/>
  <c r="I52" i="34" s="1"/>
  <c r="I165" i="34"/>
  <c r="I62" i="34"/>
  <c r="I71" i="34" s="1"/>
  <c r="H44" i="34"/>
  <c r="G165" i="34"/>
  <c r="I72" i="34" l="1"/>
  <c r="I89" i="34" s="1"/>
  <c r="H62" i="34"/>
  <c r="H71" i="34" s="1"/>
  <c r="K91" i="30" l="1"/>
  <c r="M91" i="30" s="1"/>
  <c r="E105" i="34"/>
  <c r="F52" i="34"/>
  <c r="F72" i="34" s="1"/>
  <c r="F89" i="34" s="1"/>
  <c r="G77" i="30" l="1"/>
  <c r="D11" i="31"/>
  <c r="I115" i="30"/>
  <c r="H8" i="30"/>
  <c r="D3" i="31" s="1"/>
  <c r="F105" i="34"/>
  <c r="F114" i="34" l="1"/>
  <c r="F133" i="34" s="1"/>
  <c r="I77" i="30"/>
  <c r="I99" i="30" s="1"/>
  <c r="G13" i="39"/>
  <c r="J115" i="30"/>
  <c r="J120" i="30" s="1"/>
  <c r="F143" i="34"/>
  <c r="F144" i="34" s="1"/>
  <c r="E11" i="31"/>
  <c r="L91" i="30"/>
  <c r="F11" i="31" s="1"/>
  <c r="H41" i="30"/>
  <c r="J8" i="30"/>
  <c r="H77" i="30"/>
  <c r="H99" i="30" s="1"/>
  <c r="G52" i="34"/>
  <c r="K113" i="30"/>
  <c r="G143" i="34"/>
  <c r="G144" i="34" s="1"/>
  <c r="H143" i="34"/>
  <c r="H144" i="34" s="1"/>
  <c r="H105" i="34"/>
  <c r="G105" i="34"/>
  <c r="I105" i="34"/>
  <c r="H114" i="34" l="1"/>
  <c r="H133" i="34" s="1"/>
  <c r="I133" i="34"/>
  <c r="I114" i="34"/>
  <c r="G114" i="34"/>
  <c r="G133" i="34" s="1"/>
  <c r="H13" i="39"/>
  <c r="K77" i="30"/>
  <c r="K99" i="30" s="1"/>
  <c r="L113" i="30"/>
  <c r="H115" i="30"/>
  <c r="D8" i="31" s="1"/>
  <c r="G72" i="34"/>
  <c r="G89" i="34" s="1"/>
  <c r="E3" i="31"/>
  <c r="L8" i="30"/>
  <c r="F3" i="31" s="1"/>
  <c r="J77" i="30"/>
  <c r="J99" i="30" s="1"/>
  <c r="H52" i="34"/>
  <c r="M113" i="30"/>
  <c r="K115" i="30"/>
  <c r="G11" i="31"/>
  <c r="N91" i="30"/>
  <c r="J41" i="30"/>
  <c r="F135" i="34"/>
  <c r="F166" i="34" s="1"/>
  <c r="I143" i="34"/>
  <c r="I144" i="34" s="1"/>
  <c r="I13" i="39" l="1"/>
  <c r="M77" i="30"/>
  <c r="M99" i="30" s="1"/>
  <c r="E3" i="29"/>
  <c r="H72" i="34"/>
  <c r="H89" i="34" s="1"/>
  <c r="L77" i="30"/>
  <c r="L99" i="30" s="1"/>
  <c r="E8" i="31"/>
  <c r="L41" i="30"/>
  <c r="N8" i="30"/>
  <c r="N113" i="30"/>
  <c r="L115" i="30"/>
  <c r="G135" i="34"/>
  <c r="G166" i="34" s="1"/>
  <c r="H135" i="34"/>
  <c r="I135" i="34"/>
  <c r="I166" i="34" s="1"/>
  <c r="H166" i="34" l="1"/>
  <c r="G168" i="34" s="1"/>
  <c r="I168" i="34" s="1"/>
  <c r="F3" i="29"/>
  <c r="F8" i="31"/>
  <c r="N77" i="30"/>
  <c r="N99" i="30" s="1"/>
  <c r="L120" i="30"/>
  <c r="N115" i="30"/>
  <c r="I171" i="34" l="1"/>
  <c r="I173" i="34" s="1"/>
  <c r="D13" i="31"/>
  <c r="J67" i="30" l="1"/>
  <c r="J73" i="30" s="1"/>
  <c r="E5" i="29" l="1"/>
  <c r="L67" i="30" l="1"/>
  <c r="L73" i="30" s="1"/>
  <c r="F5" i="29" l="1"/>
  <c r="AE9" i="28"/>
  <c r="G10" i="31" l="1"/>
  <c r="H67" i="30" l="1"/>
  <c r="D5" i="29" l="1"/>
  <c r="G5" i="29" s="1"/>
  <c r="H73" i="30"/>
  <c r="N67" i="30"/>
  <c r="H26" i="10" l="1"/>
  <c r="K260" i="47" s="1"/>
  <c r="K261" i="47" s="1"/>
  <c r="G8" i="30" l="1"/>
  <c r="M41" i="30"/>
  <c r="M73" i="30" s="1"/>
  <c r="I8" i="30" l="1"/>
  <c r="G11" i="39"/>
  <c r="K141" i="30"/>
  <c r="K8" i="30" l="1"/>
  <c r="H11" i="39"/>
  <c r="M141" i="30"/>
  <c r="M8" i="30" l="1"/>
  <c r="I11" i="39"/>
  <c r="G115" i="30" l="1"/>
  <c r="M115" i="30" s="1"/>
  <c r="E13" i="31" l="1"/>
  <c r="F13" i="31"/>
  <c r="G13" i="31" l="1"/>
  <c r="J18" i="10"/>
  <c r="J24" i="10" s="1"/>
  <c r="L15" i="10" l="1"/>
  <c r="K15" i="10"/>
  <c r="AE9" i="10"/>
  <c r="F9" i="31" l="1"/>
  <c r="E9" i="31"/>
  <c r="D9" i="31"/>
  <c r="G9" i="31" l="1"/>
  <c r="H120" i="30"/>
  <c r="N120" i="30" l="1"/>
  <c r="G4" i="31"/>
  <c r="J26" i="10" l="1"/>
  <c r="I26" i="10"/>
  <c r="D3" i="29" l="1"/>
  <c r="N41" i="30"/>
  <c r="N73" i="30" s="1"/>
  <c r="G3" i="31" l="1"/>
  <c r="D6" i="29" l="1"/>
  <c r="H101" i="30" l="1"/>
  <c r="H133" i="30" s="1"/>
  <c r="H137" i="30" s="1"/>
  <c r="D14" i="31"/>
  <c r="D19" i="29" s="1"/>
  <c r="H141" i="30" l="1"/>
  <c r="D17" i="31"/>
  <c r="D22" i="31" s="1"/>
  <c r="K17" i="31"/>
  <c r="G8" i="31"/>
  <c r="E6" i="29"/>
  <c r="J101" i="30"/>
  <c r="J133" i="30" s="1"/>
  <c r="J137" i="30" s="1"/>
  <c r="J141" i="30" l="1"/>
  <c r="E14" i="31"/>
  <c r="E19" i="29" s="1"/>
  <c r="F6" i="29"/>
  <c r="G6" i="29" s="1"/>
  <c r="L101" i="30"/>
  <c r="L133" i="30" s="1"/>
  <c r="L137" i="30" s="1"/>
  <c r="F14" i="31"/>
  <c r="F17" i="31" l="1"/>
  <c r="F20" i="31" s="1"/>
  <c r="F19" i="29"/>
  <c r="E17" i="31"/>
  <c r="E20" i="31" s="1"/>
  <c r="F26" i="31"/>
  <c r="G14" i="31"/>
  <c r="N101" i="30"/>
  <c r="P114" i="30" s="1"/>
  <c r="L141" i="30"/>
  <c r="G19" i="29" l="1"/>
  <c r="H6" i="31"/>
  <c r="G17" i="31"/>
  <c r="G20" i="31" s="1"/>
  <c r="H5" i="31"/>
  <c r="H12" i="31"/>
  <c r="H7" i="31"/>
  <c r="H3" i="31"/>
  <c r="H4" i="31"/>
  <c r="H8" i="31"/>
  <c r="H9" i="31"/>
  <c r="H14" i="31"/>
  <c r="H13" i="31"/>
  <c r="H11" i="31"/>
  <c r="H10" i="31"/>
  <c r="J3" i="31" l="1"/>
  <c r="J14" i="31"/>
  <c r="D9" i="29"/>
  <c r="E9" i="29"/>
  <c r="E20" i="29" s="1"/>
  <c r="E21" i="29" s="1"/>
  <c r="F9" i="29"/>
  <c r="F20" i="29" s="1"/>
  <c r="F21" i="29" s="1"/>
  <c r="D18" i="29" l="1"/>
  <c r="D20" i="29"/>
  <c r="D21" i="29" s="1"/>
  <c r="F14" i="29"/>
  <c r="F18" i="29"/>
  <c r="E14" i="29"/>
  <c r="E18" i="29"/>
  <c r="G3" i="29"/>
  <c r="N133" i="30" l="1"/>
  <c r="N137" i="30" s="1"/>
  <c r="G9" i="29"/>
  <c r="G20" i="29" s="1"/>
  <c r="G21" i="29" s="1"/>
  <c r="N141" i="30" l="1"/>
  <c r="H6" i="29"/>
  <c r="H8" i="29"/>
  <c r="H7" i="29"/>
  <c r="H5" i="29"/>
  <c r="H9" i="29"/>
  <c r="H3" i="29"/>
  <c r="J348" i="49" l="1"/>
  <c r="I348" i="49"/>
  <c r="H348" i="49"/>
  <c r="G348" i="49"/>
  <c r="I352" i="49" l="1"/>
  <c r="J352" i="49"/>
  <c r="J353" i="49"/>
  <c r="F170" i="34" l="1"/>
  <c r="L170" i="34"/>
  <c r="R11" i="36"/>
  <c r="R24" i="36" l="1"/>
  <c r="W11" i="36"/>
  <c r="R12" i="36"/>
  <c r="H44" i="11"/>
  <c r="H59" i="11" s="1"/>
  <c r="I29" i="11"/>
  <c r="H61" i="11"/>
  <c r="I35" i="11"/>
  <c r="I32" i="11"/>
  <c r="I38" i="11"/>
  <c r="I41" i="11"/>
  <c r="I61" i="11" l="1"/>
  <c r="I63" i="11"/>
  <c r="I44" i="11"/>
  <c r="I59" i="11" s="1"/>
  <c r="L61" i="11" s="1"/>
  <c r="L63" i="11" s="1"/>
</calcChain>
</file>

<file path=xl/sharedStrings.xml><?xml version="1.0" encoding="utf-8"?>
<sst xmlns="http://schemas.openxmlformats.org/spreadsheetml/2006/main" count="3797" uniqueCount="1061">
  <si>
    <t>S/N</t>
  </si>
  <si>
    <t>A</t>
  </si>
  <si>
    <t>B</t>
  </si>
  <si>
    <t>No</t>
  </si>
  <si>
    <t>Project</t>
  </si>
  <si>
    <t>Unit</t>
  </si>
  <si>
    <t>Priority</t>
  </si>
  <si>
    <t>Total Cost</t>
  </si>
  <si>
    <t>Total</t>
  </si>
  <si>
    <t>m3</t>
  </si>
  <si>
    <t>m2</t>
  </si>
  <si>
    <t>km</t>
  </si>
  <si>
    <t>SN</t>
  </si>
  <si>
    <t>Activity</t>
  </si>
  <si>
    <t>Category</t>
  </si>
  <si>
    <t>Implementation period</t>
  </si>
  <si>
    <t>Annual total</t>
  </si>
  <si>
    <t>Remark</t>
  </si>
  <si>
    <t>Q1</t>
  </si>
  <si>
    <t>Q2</t>
  </si>
  <si>
    <t>Q3</t>
  </si>
  <si>
    <t>Q4</t>
  </si>
  <si>
    <t> Civil Work</t>
  </si>
  <si>
    <t>ETB</t>
  </si>
  <si>
    <t>Massonary Drainage</t>
  </si>
  <si>
    <t>Capacity building</t>
  </si>
  <si>
    <t>Local training</t>
  </si>
  <si>
    <t>no</t>
  </si>
  <si>
    <t>Birr</t>
  </si>
  <si>
    <t>Office equipment</t>
  </si>
  <si>
    <t>Goods</t>
  </si>
  <si>
    <t>Low cost house</t>
  </si>
  <si>
    <t>Arbaminch City Administration</t>
  </si>
  <si>
    <t xml:space="preserve">COUNTRY </t>
  </si>
  <si>
    <t xml:space="preserve">Federal Democratic Republic of Ethiopia </t>
  </si>
  <si>
    <t>Responsible Agency</t>
  </si>
  <si>
    <t>REGION</t>
  </si>
  <si>
    <t>SNNPR Regional State</t>
  </si>
  <si>
    <t>CITY ADMINISTRATION</t>
  </si>
  <si>
    <t>PROGRAM</t>
  </si>
  <si>
    <t>PROCUREMENT CATEGORY/TYPE *</t>
  </si>
  <si>
    <t>WORKS AnnualProcurement plan</t>
  </si>
  <si>
    <t>BUDGET YEAR</t>
  </si>
  <si>
    <t>ANNUAL PROCUREMENT PLAN- FOR THE YEAR</t>
  </si>
  <si>
    <t>Exchange rate **</t>
  </si>
  <si>
    <t>1USD  =……………ETB</t>
  </si>
  <si>
    <t>S.No.</t>
  </si>
  <si>
    <t>Project  Description</t>
  </si>
  <si>
    <t>Measurement</t>
  </si>
  <si>
    <t>Basic Data</t>
  </si>
  <si>
    <t>Draft Bidding Documents, including specs and quantities, draft SPN</t>
  </si>
  <si>
    <t>Bidding Period</t>
  </si>
  <si>
    <t>Bid Evaluation</t>
  </si>
  <si>
    <t>Contract Finalization</t>
  </si>
  <si>
    <t>Contract Implementation</t>
  </si>
  <si>
    <t>Qty</t>
  </si>
  <si>
    <t>Package
Number</t>
  </si>
  <si>
    <t>Lot
Number</t>
  </si>
  <si>
    <t>Estimated Amount in ETH. Birr</t>
  </si>
  <si>
    <t>Source of Finance</t>
  </si>
  <si>
    <t>Procurement Method</t>
  </si>
  <si>
    <t>Pre-or Post Qualification</t>
  </si>
  <si>
    <t>Plan vs. Actual</t>
  </si>
  <si>
    <t>Prep &amp; Submission
by Ex Agency</t>
  </si>
  <si>
    <t>Approval by Endorsing Committee
Date</t>
  </si>
  <si>
    <t>Bid Invitation Date /On-line Agency website
National Press/</t>
  </si>
  <si>
    <t>Bid Closing Opening</t>
  </si>
  <si>
    <t>Submission
Bid Eval Rpt</t>
  </si>
  <si>
    <t>Contract Amount in ETH</t>
  </si>
  <si>
    <t>Date
Contract
Award</t>
  </si>
  <si>
    <t>Date
Contract
Signature</t>
  </si>
  <si>
    <t>Mobilization
Advance
Payment</t>
  </si>
  <si>
    <t>Substantial
Completion</t>
  </si>
  <si>
    <t>Final
Acceptance</t>
  </si>
  <si>
    <t>Final
Cost</t>
  </si>
  <si>
    <t>Government Treasury</t>
  </si>
  <si>
    <t>Internal Revenue</t>
  </si>
  <si>
    <t>IDA</t>
  </si>
  <si>
    <t>AID</t>
  </si>
  <si>
    <t xml:space="preserve"> 1--3wks</t>
  </si>
  <si>
    <t>1 - 2 wks</t>
  </si>
  <si>
    <t>1 - 8 wks</t>
  </si>
  <si>
    <t>1day</t>
  </si>
  <si>
    <t>1--4wks</t>
  </si>
  <si>
    <t>1 --2 wks</t>
  </si>
  <si>
    <t>1--3 wks</t>
  </si>
  <si>
    <t>2--4wks</t>
  </si>
  <si>
    <t>As per contract</t>
  </si>
  <si>
    <t>24--52wks</t>
  </si>
  <si>
    <t>Cobble stone Road Construction</t>
  </si>
  <si>
    <t>LCB</t>
  </si>
  <si>
    <t>Post</t>
  </si>
  <si>
    <t>Plan</t>
  </si>
  <si>
    <t>Revised</t>
  </si>
  <si>
    <t>Actual</t>
  </si>
  <si>
    <t>Cobble stone sub total</t>
  </si>
  <si>
    <t>NCB</t>
  </si>
  <si>
    <t>m</t>
  </si>
  <si>
    <t>Basic data</t>
  </si>
  <si>
    <t>No.</t>
  </si>
  <si>
    <t>Procurement Description</t>
  </si>
  <si>
    <t>Estimated Amount  ETB</t>
  </si>
  <si>
    <t>Mobilization/
Advance
Payment</t>
  </si>
  <si>
    <t>1wk</t>
  </si>
  <si>
    <t>NA</t>
  </si>
  <si>
    <t xml:space="preserve">Federal Democratic Republic of Ethiopia - </t>
  </si>
  <si>
    <t>Responible Agency</t>
  </si>
  <si>
    <t>SNNPR REGIONAL STATE</t>
  </si>
  <si>
    <t>CITY ADMINISTRATION/ULG</t>
  </si>
  <si>
    <t>Goods Annual procurement plan</t>
  </si>
  <si>
    <t xml:space="preserve"> Bidding Documents, including specs and quantities, Draft SPN</t>
  </si>
  <si>
    <t>Spec Proc Notice /Advertisement</t>
  </si>
  <si>
    <t>Quantity</t>
  </si>
  <si>
    <t>Procurement method</t>
  </si>
  <si>
    <t>Bid Invitation Date</t>
  </si>
  <si>
    <t>Bid Closing-Opening</t>
  </si>
  <si>
    <t>Contract Amount ETH.</t>
  </si>
  <si>
    <t>Opening
Letter of Credit</t>
  </si>
  <si>
    <t>Arrival
of
Goods</t>
  </si>
  <si>
    <t>Inspection
Final
Acceptance</t>
  </si>
  <si>
    <t>Low cot house</t>
  </si>
  <si>
    <t xml:space="preserve"> 1--6 wks</t>
  </si>
  <si>
    <t>2--6wks</t>
  </si>
  <si>
    <t>1 --4 wks</t>
  </si>
  <si>
    <t>1--2wks</t>
  </si>
  <si>
    <t>0--16wks</t>
  </si>
  <si>
    <t>0--4wks</t>
  </si>
  <si>
    <t xml:space="preserve">Equipments </t>
  </si>
  <si>
    <t>Asphalt Road</t>
  </si>
  <si>
    <t>Cobblestone Road</t>
  </si>
  <si>
    <t>Drainage</t>
  </si>
  <si>
    <t>Shelf</t>
  </si>
  <si>
    <t>Zonal Contribution</t>
  </si>
  <si>
    <t>City Contribution</t>
  </si>
  <si>
    <t>Expenditure Item</t>
  </si>
  <si>
    <t>Roller Municipal Project</t>
  </si>
  <si>
    <t>Total municipal Work</t>
  </si>
  <si>
    <t>Asphalt</t>
  </si>
  <si>
    <t>-</t>
  </si>
  <si>
    <t>Retaining wall</t>
  </si>
  <si>
    <t>Drainage total</t>
  </si>
  <si>
    <t>I</t>
  </si>
  <si>
    <t>Urban Greenery Development</t>
  </si>
  <si>
    <t>Other</t>
  </si>
  <si>
    <t>Shaleka Debebe Sisay to New Asphalt</t>
  </si>
  <si>
    <t>Gravel road with drainage</t>
  </si>
  <si>
    <t>Culvert construction</t>
  </si>
  <si>
    <t>Urban Drainage</t>
  </si>
  <si>
    <t>Tables</t>
  </si>
  <si>
    <t>Rolled One shop serveive shade building</t>
  </si>
  <si>
    <t>1. Rolled Cobble Stone</t>
  </si>
  <si>
    <t>Rolled Works Total</t>
  </si>
  <si>
    <t>Buildings</t>
  </si>
  <si>
    <t>Cadaster office building</t>
  </si>
  <si>
    <t>Strategic Area</t>
  </si>
  <si>
    <t>EFY 2011</t>
  </si>
  <si>
    <t>EFY 2012</t>
  </si>
  <si>
    <t>EFY 2013</t>
  </si>
  <si>
    <t>% of total</t>
  </si>
  <si>
    <t>Movement Network</t>
  </si>
  <si>
    <t>Water Supply Network</t>
  </si>
  <si>
    <t>C</t>
  </si>
  <si>
    <t>Economic &amp; Social Services</t>
  </si>
  <si>
    <t>D</t>
  </si>
  <si>
    <t>Environmental Services</t>
  </si>
  <si>
    <t>E</t>
  </si>
  <si>
    <t>F</t>
  </si>
  <si>
    <t>Municipal Administration Buildings and Other Projects which cannot be put in Pillars</t>
  </si>
  <si>
    <t>Other(Capacity building)</t>
  </si>
  <si>
    <t>Rolled Retaining wall total</t>
  </si>
  <si>
    <t>ECSPG Pillar &amp; Project Name</t>
  </si>
  <si>
    <t>Pillar 6. Integrated Urban Infrastructure</t>
  </si>
  <si>
    <t>Movement Network[1]</t>
  </si>
  <si>
    <t>Roads</t>
  </si>
  <si>
    <t>1.1.1</t>
  </si>
  <si>
    <t>New</t>
  </si>
  <si>
    <t>1.1.2</t>
  </si>
  <si>
    <t>Rolled</t>
  </si>
  <si>
    <t>1.2.1</t>
  </si>
  <si>
    <t>1.2.2</t>
  </si>
  <si>
    <t>Gravel Road</t>
  </si>
  <si>
    <t>1.3.1</t>
  </si>
  <si>
    <t>1.3.2</t>
  </si>
  <si>
    <t>Other types of roads</t>
  </si>
  <si>
    <t>1.4.1</t>
  </si>
  <si>
    <t>1.4.2</t>
  </si>
  <si>
    <t>Cycle Ways, Cycle Paths</t>
  </si>
  <si>
    <t xml:space="preserve">Foot paths,  </t>
  </si>
  <si>
    <t>pavements,</t>
  </si>
  <si>
    <t>pedestrian</t>
  </si>
  <si>
    <t>walkways,</t>
  </si>
  <si>
    <t>Road Structure</t>
  </si>
  <si>
    <t>Bridge(New)</t>
  </si>
  <si>
    <t>Bridge(Rolled)</t>
  </si>
  <si>
    <t>Culvert(New)</t>
  </si>
  <si>
    <t>Culvert(Rolled)</t>
  </si>
  <si>
    <t>Street lighting</t>
  </si>
  <si>
    <t xml:space="preserve">Bus terminals, , </t>
  </si>
  <si>
    <t xml:space="preserve">bus stops </t>
  </si>
  <si>
    <t>bus stations</t>
  </si>
  <si>
    <t xml:space="preserve">Road furniture,  , </t>
  </si>
  <si>
    <t>road signs</t>
  </si>
  <si>
    <t>traffic lights</t>
  </si>
  <si>
    <t>Sub-total Movement Network</t>
  </si>
  <si>
    <t>Water resources</t>
  </si>
  <si>
    <t>Name of project</t>
  </si>
  <si>
    <t>Etc</t>
  </si>
  <si>
    <t>Water supply</t>
  </si>
  <si>
    <t>Sub-total Water Supply Network</t>
  </si>
  <si>
    <t>Markets</t>
  </si>
  <si>
    <t>MSE Facilities/Industrial Zones</t>
  </si>
  <si>
    <t>Health Centres &amp; Clinics</t>
  </si>
  <si>
    <t>Schools</t>
  </si>
  <si>
    <t>Sub-total Economic &amp; Social Services</t>
  </si>
  <si>
    <t>Electricity reticulation</t>
  </si>
  <si>
    <t>1.1.</t>
  </si>
  <si>
    <t>Sub-total Other</t>
  </si>
  <si>
    <t>Total Pillar 6. Integrated Urban Infrastructure</t>
  </si>
  <si>
    <t>Sanitation</t>
  </si>
  <si>
    <t>Solid Waste</t>
  </si>
  <si>
    <t>Liquid Waste</t>
  </si>
  <si>
    <t>Urban Greenery</t>
  </si>
  <si>
    <t>Rivers, wetlands, natural areas , watershed management</t>
  </si>
  <si>
    <t>Subtotal Environmental Services</t>
  </si>
  <si>
    <t>Subtotal Other</t>
  </si>
  <si>
    <t>Total Pillar 7: Environmental, Green Services &amp; Recreation</t>
  </si>
  <si>
    <t>Youth/Women Centres &amp; Projects</t>
  </si>
  <si>
    <t>Fire and Ambulances Services</t>
  </si>
  <si>
    <t>Subtotal Economic &amp; Social Services</t>
  </si>
  <si>
    <t>Flood Protection (retaining walls etc)</t>
  </si>
  <si>
    <t>Total Pillar 8: Resilient, Inclusive and Safer Cities</t>
  </si>
  <si>
    <t>3 etc.</t>
  </si>
  <si>
    <t>Consultancy Services for designs and contract management/supervision</t>
  </si>
  <si>
    <t>Total CIP</t>
  </si>
  <si>
    <t>Total Capacity Building Plan (from Table 15)</t>
  </si>
  <si>
    <t>Grand Total Expenditure (CIP + CBP)</t>
  </si>
  <si>
    <t>Total Income</t>
  </si>
  <si>
    <t>Surplus/Deficit</t>
  </si>
  <si>
    <t xml:space="preserve">[1] CIP Projects are now grouped under the ECSPG Pillars and also under the following four strategic areas as defined by the revised Asset Management Plan Manual: A. Movement Network; B. Water Supply Network; C. Economic and Social Services; D. Environmental Services. Any infrastructure category which does not fit into these four areas will be put in E. Other. </t>
  </si>
  <si>
    <t xml:space="preserve">m </t>
  </si>
  <si>
    <t>Name of drainage project(New)</t>
  </si>
  <si>
    <t>Parks and Play Areas(Rolled)</t>
  </si>
  <si>
    <t>MSE Shade (Rolled)</t>
  </si>
  <si>
    <t>MSE Shade (New)</t>
  </si>
  <si>
    <t>Fence construction</t>
  </si>
  <si>
    <t>Urban Investment Component</t>
  </si>
  <si>
    <t>Road</t>
  </si>
  <si>
    <t>Rehabilitation of Roads</t>
  </si>
  <si>
    <t>Integrated multiple infrastructure and land services</t>
  </si>
  <si>
    <t>Sanitation (Liquid waste) including vacuum trucks etc.</t>
  </si>
  <si>
    <t>Solid waste management</t>
  </si>
  <si>
    <t>Urban Disaster Risk Management</t>
  </si>
  <si>
    <t>Built facilities</t>
  </si>
  <si>
    <t>Urban Green Infrastructure</t>
  </si>
  <si>
    <t>Consultancy serv. for designs and Contract management</t>
  </si>
  <si>
    <t>Capacity Building support (up to 5% of CIP can be used on capacity building support).</t>
  </si>
  <si>
    <t>Funding Sources (Amount) , ETB</t>
  </si>
  <si>
    <t>Rolled from last year</t>
  </si>
  <si>
    <t xml:space="preserve">Pillar 6. Integrated Urban Infrastructure </t>
  </si>
  <si>
    <t>1.1.3</t>
  </si>
  <si>
    <t>Community Contribution</t>
  </si>
  <si>
    <t>1.1.4</t>
  </si>
  <si>
    <t>1.1.5</t>
  </si>
  <si>
    <t>1.1.6</t>
  </si>
  <si>
    <t>1.1.7</t>
  </si>
  <si>
    <t>1.1.8</t>
  </si>
  <si>
    <t>1.1.9</t>
  </si>
  <si>
    <t>1.1.10</t>
  </si>
  <si>
    <t>1.1.11</t>
  </si>
  <si>
    <t>1.1.12</t>
  </si>
  <si>
    <t>1.1.13</t>
  </si>
  <si>
    <t>1.1.14</t>
  </si>
  <si>
    <t>1.1.15</t>
  </si>
  <si>
    <t>1.1.16</t>
  </si>
  <si>
    <t>1.1.17</t>
  </si>
  <si>
    <t>1.1.18</t>
  </si>
  <si>
    <t>1.1.19</t>
  </si>
  <si>
    <t>1.1.20</t>
  </si>
  <si>
    <t>1.1.21</t>
  </si>
  <si>
    <t>Cobblestone Road total</t>
  </si>
  <si>
    <t>Drainage construction</t>
  </si>
  <si>
    <t>1.2.3</t>
  </si>
  <si>
    <t>Retaining wall total</t>
  </si>
  <si>
    <t>1.5.1</t>
  </si>
  <si>
    <t>1.6.1</t>
  </si>
  <si>
    <t>1.6.2</t>
  </si>
  <si>
    <t>1.7.1</t>
  </si>
  <si>
    <t>UIIDP Funded projects</t>
  </si>
  <si>
    <t>New projects</t>
  </si>
  <si>
    <t>Rolled Cobble stone</t>
  </si>
  <si>
    <t>Rolled Cobble stone total</t>
  </si>
  <si>
    <t>UIIDP Works</t>
  </si>
  <si>
    <t>Municipal Non UIIDP Works</t>
  </si>
  <si>
    <t>Municipal Non UIIDP Works total</t>
  </si>
  <si>
    <t>State Non UIIDP Works</t>
  </si>
  <si>
    <t>Arbaminch/Non UIIDP/CW-038/2017</t>
  </si>
  <si>
    <t>Arbaminch/UIIDP/CW-010/2018</t>
  </si>
  <si>
    <t>DC</t>
  </si>
  <si>
    <t>Physical/Financial</t>
  </si>
  <si>
    <t>Cobble Stone road</t>
  </si>
  <si>
    <t xml:space="preserve"> Gravel Roads </t>
  </si>
  <si>
    <t xml:space="preserve">Movement Network Total </t>
  </si>
  <si>
    <t>Water Supply total</t>
  </si>
  <si>
    <t>Others</t>
  </si>
  <si>
    <t>Total maintenance budget</t>
  </si>
  <si>
    <t>Description of Activities</t>
  </si>
  <si>
    <t>Physical /Financial</t>
  </si>
  <si>
    <t>Implementation Period</t>
  </si>
  <si>
    <t>Physical</t>
  </si>
  <si>
    <t>Financial</t>
  </si>
  <si>
    <t>Four sub cities gravel road</t>
  </si>
  <si>
    <t>Engineering machine maintenance</t>
  </si>
  <si>
    <t>Four sub cities water supply maintenance</t>
  </si>
  <si>
    <t>Four sub cities masonry maintenance</t>
  </si>
  <si>
    <t>Four sub cities electricity maintenance</t>
  </si>
  <si>
    <t>Movement Network (New Projects) Total</t>
  </si>
  <si>
    <t>Movement Network (Rolled)</t>
  </si>
  <si>
    <t>Movement Network (Rolled) Total</t>
  </si>
  <si>
    <t>Movement Network Total</t>
  </si>
  <si>
    <t>Economic &amp; Social Services(New Projects)</t>
  </si>
  <si>
    <t>Economic &amp; Social Services Total</t>
  </si>
  <si>
    <t>Environmental Services(New Projects)</t>
  </si>
  <si>
    <t>Environmental Services(New Projects) Total</t>
  </si>
  <si>
    <t>Environmental Services(Rolled)</t>
  </si>
  <si>
    <t>Environmental Services Total</t>
  </si>
  <si>
    <t>Municipal Non UIIDP Works (New)</t>
  </si>
  <si>
    <t>Municipal Non UIIDP Works (New) Total</t>
  </si>
  <si>
    <t>Pillar 8: Resilient, Inclusive and Safer Cities</t>
  </si>
  <si>
    <t>Pillar 8: Resilient, Inclusive and Safer Cities total</t>
  </si>
  <si>
    <t>Pillar 6. Integrated Urban Infrastructure Total</t>
  </si>
  <si>
    <t>Pillar 7: Environmental, Green Services &amp; Recreation</t>
  </si>
  <si>
    <t>Municipal (New projects)</t>
  </si>
  <si>
    <t>Buildings(New)</t>
  </si>
  <si>
    <t>Buildings(Rolled)</t>
  </si>
  <si>
    <t>Buildings Total</t>
  </si>
  <si>
    <t>Municipal (Rolled projects)</t>
  </si>
  <si>
    <t>Retaining wall(Rolled)</t>
  </si>
  <si>
    <t>Pillar 7: Environmental, Green Services &amp; Recreation Total</t>
  </si>
  <si>
    <t>Total CIP Budget</t>
  </si>
  <si>
    <t xml:space="preserve">Performance Indicator </t>
  </si>
  <si>
    <t>Unit of Measure</t>
  </si>
  <si>
    <t>Baseline</t>
  </si>
  <si>
    <t>Budget</t>
  </si>
  <si>
    <t>(GTP II Target)</t>
  </si>
  <si>
    <t>(2020/21)</t>
  </si>
  <si>
    <t>Target</t>
  </si>
  <si>
    <t>EFY 2017</t>
  </si>
  <si>
    <t>(2024/25)</t>
  </si>
  <si>
    <t>GTP III Target</t>
  </si>
  <si>
    <t>CIP Expenditures</t>
  </si>
  <si>
    <t>Municipal revenues (excluding land lease)</t>
  </si>
  <si>
    <t>Land lease</t>
  </si>
  <si>
    <t>Municipal revenues (including land lease)</t>
  </si>
  <si>
    <t>Land lease as a percentage of municipal revenues (3 divided by 4)</t>
  </si>
  <si>
    <t>%</t>
  </si>
  <si>
    <t>State Revenues</t>
  </si>
  <si>
    <t>Operation and Maintenance (O &amp; M) (total of a &amp; b below)</t>
  </si>
  <si>
    <t>(a)</t>
  </si>
  <si>
    <t>O &amp; M for normal maintenance activities (Conditions 1 &amp; 2)[1]</t>
  </si>
  <si>
    <t>(b)</t>
  </si>
  <si>
    <t>O &amp; M to cover maintenance deficit activities (Conditions 3, 4 and minor assets in 5)</t>
  </si>
  <si>
    <t>O &amp; M expenditures as a percentage of municipal revenues (excluding land lease) (7 divided by 2)</t>
  </si>
  <si>
    <t>Total maintenance deficit (TMD) (from AMP)</t>
  </si>
  <si>
    <t>Total Asset Replacement Cost (TARC)[2]</t>
  </si>
  <si>
    <t>TMD Coverage Rate {(7) divided by 9}</t>
  </si>
  <si>
    <t>(Maintenance Budget as a percentage of TMD)</t>
  </si>
  <si>
    <t>Maintenance Budget as a percentage of TARC</t>
  </si>
  <si>
    <t>Maintenance Budget as a percentage of CIP</t>
  </si>
  <si>
    <t>Maintenance Budget as a percentage of municipal revenues</t>
  </si>
  <si>
    <t>Operating Surplus (Deficit)</t>
  </si>
  <si>
    <t>Operating Surplus (Deficit) as a percentage of municipal revenues excl. land lease (11 divided by 2)</t>
  </si>
  <si>
    <t>[1]For most cities this separation will only be reflected as from EFY 2009 budget which is the first year that the revised AMP manual is being used. It is now a requirement as per the revised AMP manual that all normal maintenance activities should be fully covered (provided for)  in the annual budget.</t>
  </si>
  <si>
    <t>[2]This can only be entered for two years i.e. CIP 1st year and current year (baseline) for which AMP is available</t>
  </si>
  <si>
    <t>Sources of Funding</t>
  </si>
  <si>
    <t xml:space="preserve"> Amount of funding in Birr </t>
  </si>
  <si>
    <t>Total for 3 years</t>
  </si>
  <si>
    <t>IDA Performance Grant</t>
  </si>
  <si>
    <t>4 </t>
  </si>
  <si>
    <t>Subtotal: UIIDP (1-3)</t>
  </si>
  <si>
    <t> 6</t>
  </si>
  <si>
    <t>Total UIIDP(4+5)</t>
  </si>
  <si>
    <t>Additional Regional Fund for CIP</t>
  </si>
  <si>
    <t>Additional Municipal Fund from Surplus</t>
  </si>
  <si>
    <t>Additional State Fund from Surplus</t>
  </si>
  <si>
    <t>Community Contributions</t>
  </si>
  <si>
    <t>Other Capital Receipts</t>
  </si>
  <si>
    <t>Total Additional City &amp; Regional Fund (7-11)</t>
  </si>
  <si>
    <t>Other donor fund except UIIDP</t>
  </si>
  <si>
    <t>14 </t>
  </si>
  <si>
    <t>Total fund available for the CIP (6+13+14)</t>
  </si>
  <si>
    <t>Ditch cover</t>
  </si>
  <si>
    <t>(Actual)</t>
  </si>
  <si>
    <t xml:space="preserve"> Asphalt road</t>
  </si>
  <si>
    <t>Compacted earthen road</t>
  </si>
  <si>
    <t>Cobble Stone Road</t>
  </si>
  <si>
    <t>Pedestrian walk way</t>
  </si>
  <si>
    <t>Bridge construction</t>
  </si>
  <si>
    <t>Street Light</t>
  </si>
  <si>
    <t>Public toilet</t>
  </si>
  <si>
    <t>Urban Greenery protection fence</t>
  </si>
  <si>
    <t>MSE Shade</t>
  </si>
  <si>
    <t>Fence work</t>
  </si>
  <si>
    <t>Ditch cover (New)</t>
  </si>
  <si>
    <t>Abbatior maintenance</t>
  </si>
  <si>
    <t>Gamo square construction</t>
  </si>
  <si>
    <t>Goods total</t>
  </si>
  <si>
    <t>Skip loader</t>
  </si>
  <si>
    <t>Sub total</t>
  </si>
  <si>
    <t>Abattior car</t>
  </si>
  <si>
    <t>Total station(New)</t>
  </si>
  <si>
    <t>Building total</t>
  </si>
  <si>
    <t>Buildings(Rolled) total</t>
  </si>
  <si>
    <t>Abattoir truck</t>
  </si>
  <si>
    <t>Sanitation(Dust bin)</t>
  </si>
  <si>
    <r>
      <t>R</t>
    </r>
    <r>
      <rPr>
        <sz val="12"/>
        <rFont val="Times New Roman"/>
        <family val="1"/>
      </rPr>
      <t>olled</t>
    </r>
  </si>
  <si>
    <t>Additional state Funds</t>
  </si>
  <si>
    <t>Additional Municipality Funds</t>
  </si>
  <si>
    <t>Four sub cities electric line maintenance</t>
  </si>
  <si>
    <t>Works</t>
  </si>
  <si>
    <t>Physical plan</t>
  </si>
  <si>
    <t>EFY 2010</t>
  </si>
  <si>
    <t>Three Year Total</t>
  </si>
  <si>
    <t>Other types of roads(Earthen)</t>
  </si>
  <si>
    <t>Cycle Ways</t>
  </si>
  <si>
    <t>Foot paths: pavements</t>
  </si>
  <si>
    <t>Abattoirs</t>
  </si>
  <si>
    <t>Total Pillar 6. Integrated Urban Infrastructure total</t>
  </si>
  <si>
    <t>Parks and Play Areas</t>
  </si>
  <si>
    <t>Total Past Capital Investments</t>
  </si>
  <si>
    <t>Total Past Capacity Building</t>
  </si>
  <si>
    <t>Total past 3-year expenditure</t>
  </si>
  <si>
    <t>Culvert</t>
  </si>
  <si>
    <t>Ditchcover</t>
  </si>
  <si>
    <t>Buildings, fence and goods</t>
  </si>
  <si>
    <t>Total Pillar 8: Resilient, Inclusive and Safer Cities total</t>
  </si>
  <si>
    <t>State Non UIIDP Maintenece Works</t>
  </si>
  <si>
    <t>Rolled One shop serveice shed building</t>
  </si>
  <si>
    <t>Acc/ No.</t>
  </si>
  <si>
    <t>Revenue item</t>
  </si>
  <si>
    <t>Municipal Revenue Item</t>
  </si>
  <si>
    <t>1701-1719</t>
  </si>
  <si>
    <t>Tax Revenues from Municipal Services</t>
  </si>
  <si>
    <t>1721-1729</t>
  </si>
  <si>
    <t xml:space="preserve">Municipal rent revenues </t>
  </si>
  <si>
    <t>10% of Lease income</t>
  </si>
  <si>
    <t>1740-1749</t>
  </si>
  <si>
    <t>Municipal Service Charges</t>
  </si>
  <si>
    <t>1750-1789</t>
  </si>
  <si>
    <t>Property and Services Sales of Goods and Services</t>
  </si>
  <si>
    <t>Total Municipal Own Operating Revenue (sum of above)</t>
  </si>
  <si>
    <t>Other Municipal Operating Revenues</t>
  </si>
  <si>
    <t>Road Fund</t>
  </si>
  <si>
    <t>City state revenue cover for municipal recurrent expenditure</t>
  </si>
  <si>
    <t>Sum of the Other Municipal Operating Revenues</t>
  </si>
  <si>
    <t>Total Municipal Operating Revenue</t>
  </si>
  <si>
    <t xml:space="preserve">Municipal Operating /Recurrent/Expenditure </t>
  </si>
  <si>
    <t>Municipal Salary and Emblements</t>
  </si>
  <si>
    <t>Goods and services</t>
  </si>
  <si>
    <t>Routine Repair and maintenance of infrastructure by own budget</t>
  </si>
  <si>
    <t>Routine Repair and maintenance of infrastructure by road fund</t>
  </si>
  <si>
    <t xml:space="preserve">Total Routine Repair and maintenance of infrastructure </t>
  </si>
  <si>
    <t>Purchasing of Fixed Assets</t>
  </si>
  <si>
    <t xml:space="preserve">Total Recurrent Expenditure </t>
  </si>
  <si>
    <t xml:space="preserve">Operating surplus </t>
  </si>
  <si>
    <t xml:space="preserve">Operating Surplus </t>
  </si>
  <si>
    <t>90% of lease income</t>
  </si>
  <si>
    <t>Community contribution</t>
  </si>
  <si>
    <t>1791-1799</t>
  </si>
  <si>
    <t>Other capital receipts</t>
  </si>
  <si>
    <t xml:space="preserve">Total Municipal Capital Revenue </t>
  </si>
  <si>
    <t>State Tax and Service charge Revenue</t>
  </si>
  <si>
    <t>Regional Subsidy to City budget</t>
  </si>
  <si>
    <t>Total State Revenue</t>
  </si>
  <si>
    <t xml:space="preserve">Total CIP Project </t>
  </si>
  <si>
    <r>
      <t>M</t>
    </r>
    <r>
      <rPr>
        <vertAlign val="superscript"/>
        <sz val="11"/>
        <color indexed="8"/>
        <rFont val="Times"/>
        <family val="1"/>
      </rPr>
      <t>2</t>
    </r>
  </si>
  <si>
    <r>
      <t>M</t>
    </r>
    <r>
      <rPr>
        <vertAlign val="superscript"/>
        <sz val="11"/>
        <color indexed="8"/>
        <rFont val="Times"/>
        <family val="1"/>
      </rPr>
      <t>2</t>
    </r>
    <r>
      <rPr>
        <sz val="11"/>
        <color theme="1"/>
        <rFont val="Calibri"/>
        <family val="2"/>
        <scheme val="minor"/>
      </rPr>
      <t/>
    </r>
  </si>
  <si>
    <t xml:space="preserve">Ministry of Urban Development &amp; Construction </t>
  </si>
  <si>
    <t xml:space="preserve">ULGDP Work </t>
  </si>
  <si>
    <t>Rolled Works</t>
  </si>
  <si>
    <t>Rolled Cobble Stone Total</t>
  </si>
  <si>
    <t>Rolled Masonry Drainage</t>
  </si>
  <si>
    <t>Rolled Masonry Drainage Total</t>
  </si>
  <si>
    <t>Rolled Retaining Wall</t>
  </si>
  <si>
    <t>Rolled Retaining Wall Total</t>
  </si>
  <si>
    <t>Rolled Greenery Protection Fence</t>
  </si>
  <si>
    <t>Rolled Greenery Protection Fence total</t>
  </si>
  <si>
    <t>Rolled Grenery Development</t>
  </si>
  <si>
    <t>Arbaminch/UIIDP/CW-045/2019</t>
  </si>
  <si>
    <t>Rolled Grenery Development total</t>
  </si>
  <si>
    <t>Rolled Asphalt median and greenery</t>
  </si>
  <si>
    <t>Rolled Culvert construction total</t>
  </si>
  <si>
    <t>ULGDP Work Total</t>
  </si>
  <si>
    <t>From Endezihnew Kasaye to Wushu Pension</t>
  </si>
  <si>
    <t>From Eyob Kurka to Gida Gita</t>
  </si>
  <si>
    <t>From Lukas Woga to Dr. Melkamu Biniyam</t>
  </si>
  <si>
    <t>From Mesfin Albo to W/ro Tsehay house</t>
  </si>
  <si>
    <t>From Tefera Bizuneh to Almaz Gergeda</t>
  </si>
  <si>
    <t>Arbaminch/UIIDP/CW-005/2019</t>
  </si>
  <si>
    <t>Arbaminch/UIIDP/CW-007/2019</t>
  </si>
  <si>
    <t>Arbaminch/UIIDP/CW-015/2019</t>
  </si>
  <si>
    <t>Arbaminch/UIIDP/CW-020/2019</t>
  </si>
  <si>
    <t>URBAN INSTITUTIONAL INFRUCTURE DEVELOPMENT PROGRAM (UIIDP)        IDA CR. NO.5435ET</t>
  </si>
  <si>
    <t>Konso Market to Stadium Retaining wall</t>
  </si>
  <si>
    <t>Retaining wall at the side of Kulufo river phase-II</t>
  </si>
  <si>
    <t>Arbaminch/UIIDP/CW-025/2019</t>
  </si>
  <si>
    <t>From Referral Hospital to Lemlem Square phase-II</t>
  </si>
  <si>
    <t>Arbaminch/UIIDP/CW-036/2019</t>
  </si>
  <si>
    <t>Arbaminch/UIIDP/CW-029/2019</t>
  </si>
  <si>
    <t>From Haile Resort to Hawariyat Church</t>
  </si>
  <si>
    <t>Arbaminch/UIIDP/CW-032/2019</t>
  </si>
  <si>
    <t>Arbaminch/UIIDP/CW-033/2019</t>
  </si>
  <si>
    <t>Culvert construction Total\</t>
  </si>
  <si>
    <t>Bridge construction Total</t>
  </si>
  <si>
    <t>Electric Line Expansion  total</t>
  </si>
  <si>
    <t>Electric Line Expansion /Transformer /</t>
  </si>
  <si>
    <t>Street Light /solar/</t>
  </si>
  <si>
    <t>From Konso sefer adebabay to Admasu house and from Fish Corporation to Zone Urban Dev't Office</t>
  </si>
  <si>
    <t>Km</t>
  </si>
  <si>
    <t>Street Light Total</t>
  </si>
  <si>
    <t>Skip Loader</t>
  </si>
  <si>
    <t>Ministry of Urban Development &amp; Construction</t>
  </si>
  <si>
    <t>URBAN INSTITUTIONAL INFRUCTURE DEVELOPMENT PROGRAM (UIIDP)          IDA CR. NO.5435ET</t>
  </si>
  <si>
    <t>URBAN INSTITUTIONAL INFRUCTURE DEVELOPMENT PROGRAM (UIIDP)         IDA CR. NO.5435ET</t>
  </si>
  <si>
    <t>Ministry of Urban Development &amp;Construction</t>
  </si>
  <si>
    <t>Arbaminch/Non UIIDP/CW-048/2018</t>
  </si>
  <si>
    <t>New Projects</t>
  </si>
  <si>
    <t>New Projects Total</t>
  </si>
  <si>
    <t>Rolled Projects</t>
  </si>
  <si>
    <t>Rolled Projects Total</t>
  </si>
  <si>
    <t>State Projects Total</t>
  </si>
  <si>
    <t>UIIDP IDA Grant</t>
  </si>
  <si>
    <t>1.3.3</t>
  </si>
  <si>
    <t>1.3.4</t>
  </si>
  <si>
    <t xml:space="preserve">Chamo Campus University Fence   </t>
  </si>
  <si>
    <t xml:space="preserve">Sebsibe Haile Culvert </t>
  </si>
  <si>
    <t>Street Light total</t>
  </si>
  <si>
    <t>Bridges,Fords &amp; Culvert construction</t>
  </si>
  <si>
    <t>1.3.5</t>
  </si>
  <si>
    <t>Dawit Dage to Ashewa Mado</t>
  </si>
  <si>
    <t>Bridges,Fords &amp; Culvert construction total</t>
  </si>
  <si>
    <t>Gamo Round about construction</t>
  </si>
  <si>
    <t>Rolled Bridges,Fords &amp; Culvert construction</t>
  </si>
  <si>
    <t>Rolled Bridges,Fords &amp; Culvert construction total</t>
  </si>
  <si>
    <t>Rolled Roundabout constrution</t>
  </si>
  <si>
    <t>Fire Hydrant</t>
  </si>
  <si>
    <t>Rolled  Greenery Development</t>
  </si>
  <si>
    <t>Electricity Reticulation</t>
  </si>
  <si>
    <t>Electric Line Expansion /Transformer /Total</t>
  </si>
  <si>
    <t>Rolled Drainage Projects</t>
  </si>
  <si>
    <t>Rolled Drainage Projects Total</t>
  </si>
  <si>
    <t>Environmental Services(Rolled) Total</t>
  </si>
  <si>
    <t>Four sub cities cobble Stone Road</t>
  </si>
  <si>
    <t>Abbatior Fence maintenance</t>
  </si>
  <si>
    <t>Other Plants and Equipments Maintenance</t>
  </si>
  <si>
    <t>Asphalt Median Fence Maintenance</t>
  </si>
  <si>
    <t>Others Total</t>
  </si>
  <si>
    <t>Round about(Rolled)</t>
  </si>
  <si>
    <t>Name of drainage project(Rolled)</t>
  </si>
  <si>
    <t>Urban Greenery (Rolled)</t>
  </si>
  <si>
    <t>Urban Greenery (New)</t>
  </si>
  <si>
    <t>Retaining Wall (New)</t>
  </si>
  <si>
    <t>Retaining Wall (Rolled)</t>
  </si>
  <si>
    <t>EFY 2014</t>
  </si>
  <si>
    <t>plan</t>
  </si>
  <si>
    <t>26+27+28+29</t>
  </si>
  <si>
    <t>unreserved carry over from previous year /UIIDP/</t>
  </si>
  <si>
    <t>2012 EFY</t>
  </si>
  <si>
    <t>(2021/22)</t>
  </si>
  <si>
    <t>Output Indicator /unit of measure/</t>
  </si>
  <si>
    <t>Carry over fund from previous year /UIIDP/</t>
  </si>
  <si>
    <t>Table 1. Performance Indicators for Achievement of City Goals and Objectives</t>
  </si>
  <si>
    <t>Table 2. Key City Financial Performance &amp; Sustainability Indicators</t>
  </si>
  <si>
    <t>№  of Participants</t>
  </si>
  <si>
    <t>Community Group</t>
  </si>
  <si>
    <t>M</t>
  </si>
  <si>
    <t>T</t>
  </si>
  <si>
    <t>Group total as % of Total</t>
  </si>
  <si>
    <t>Female share %</t>
  </si>
  <si>
    <t>Religion leaders</t>
  </si>
  <si>
    <t>Local elders</t>
  </si>
  <si>
    <t>MSE members</t>
  </si>
  <si>
    <t>Edir leaders</t>
  </si>
  <si>
    <t>Civil servants</t>
  </si>
  <si>
    <t>City council members</t>
  </si>
  <si>
    <t>House wives</t>
  </si>
  <si>
    <t>Professionals</t>
  </si>
  <si>
    <t>Traders</t>
  </si>
  <si>
    <t>Students</t>
  </si>
  <si>
    <t>NGO members</t>
  </si>
  <si>
    <t>Disabled group</t>
  </si>
  <si>
    <t>Total № of Participants</t>
  </si>
  <si>
    <t>Table 3. Participants &amp; Community Groups in 1st Round -Consultations &amp; Identification of Projects at Kebele Level</t>
  </si>
  <si>
    <t>Name of Project</t>
  </si>
  <si>
    <t>Name of Kebele</t>
  </si>
  <si>
    <t>Community Group/City office from which proposed</t>
  </si>
  <si>
    <t>City officials</t>
  </si>
  <si>
    <t>1.2.4</t>
  </si>
  <si>
    <r>
      <t>Table 5. Participants &amp; Community Groups in 2</t>
    </r>
    <r>
      <rPr>
        <b/>
        <vertAlign val="superscript"/>
        <sz val="12"/>
        <color theme="1"/>
        <rFont val="Times New Roman"/>
        <family val="1"/>
      </rPr>
      <t>nd</t>
    </r>
    <r>
      <rPr>
        <b/>
        <sz val="12"/>
        <color theme="1"/>
        <rFont val="Times New Roman"/>
        <family val="1"/>
      </rPr>
      <t xml:space="preserve"> Round -Prioritization and Ranking of Projects at City Level</t>
    </r>
  </si>
  <si>
    <t>Rolled Greenery protection fence</t>
  </si>
  <si>
    <t>Rolled Greenery protection fence Total</t>
  </si>
  <si>
    <t>Rolled  Greenery Development Total</t>
  </si>
  <si>
    <t>Rolled Asphalt median and greenery Total</t>
  </si>
  <si>
    <t>Dawit Dage to Ashewa Mado Bridge</t>
  </si>
  <si>
    <t>Temporary Jobs Creation by Age Group</t>
  </si>
  <si>
    <t>Males</t>
  </si>
  <si>
    <t>Females</t>
  </si>
  <si>
    <t>30 years &amp; under</t>
  </si>
  <si>
    <t xml:space="preserve">Over 30 year </t>
  </si>
  <si>
    <t>Animal Health Center</t>
  </si>
  <si>
    <t xml:space="preserve"> Ministry of Urban Development &amp; Construction</t>
  </si>
  <si>
    <t xml:space="preserve">URBAN INSTITUTIONAL INFRUCTURE DEVELOPMENT PROGRAM (UIIDP)    IDA CR. NO.5435ET                             </t>
  </si>
  <si>
    <t>Police Car</t>
  </si>
  <si>
    <t>Consultancy Services for designs total</t>
  </si>
  <si>
    <t>State revenues and expenditures</t>
  </si>
  <si>
    <t>State Expenditure/function</t>
  </si>
  <si>
    <t xml:space="preserve"> - </t>
  </si>
  <si>
    <t>Strategic and Supportive Activity Areas</t>
  </si>
  <si>
    <t>Budget for reducing the maintenance deficit</t>
  </si>
  <si>
    <t>The Movement Network</t>
  </si>
  <si>
    <t>The Water Supply Network</t>
  </si>
  <si>
    <t xml:space="preserve">                      -   </t>
  </si>
  <si>
    <t>Social and Economic Services &amp; others</t>
  </si>
  <si>
    <t xml:space="preserve">Total budget: maintenance </t>
  </si>
  <si>
    <t>cip</t>
  </si>
  <si>
    <t>Total budget: maintenance deficit</t>
  </si>
  <si>
    <t>ECSPG Pillar &amp; Capacity Building Activities /investments</t>
  </si>
  <si>
    <t>UIIDP POM Thematic Area</t>
  </si>
  <si>
    <t>Gaps identified</t>
  </si>
  <si>
    <t>Capacity Building Modality[1]</t>
  </si>
  <si>
    <t>Performance Indicators[2]</t>
  </si>
  <si>
    <t>Target[3]</t>
  </si>
  <si>
    <t>Lead Person Responsible</t>
  </si>
  <si>
    <t>Start date</t>
  </si>
  <si>
    <t>End date</t>
  </si>
  <si>
    <t>Resources required (budget) in Birr</t>
  </si>
  <si>
    <t xml:space="preserve">Pillar 1: Urban Transformational Leadership </t>
  </si>
  <si>
    <t>P and B</t>
  </si>
  <si>
    <t>Lack of awareness on the new programme and continios integration</t>
  </si>
  <si>
    <t>Classroom training</t>
  </si>
  <si>
    <t>No. of trainees</t>
  </si>
  <si>
    <t xml:space="preserve">Training </t>
  </si>
  <si>
    <t xml:space="preserve">Provide a training  to all leaders , focal persons and communty members on project site selection and  CIP  preparation , Revision and aproval </t>
  </si>
  <si>
    <t>Provide on the on CIP for those implimentors requiring special support.</t>
  </si>
  <si>
    <t>Lack of awareness on the new programme</t>
  </si>
  <si>
    <t>Lack of integration, lack of commitment and lack of awareness</t>
  </si>
  <si>
    <t>Less efficiency in performance</t>
  </si>
  <si>
    <t>Learning exchange</t>
  </si>
  <si>
    <t xml:space="preserve">Refreshment training preparing by FMT and RMT for city cordinator, CIP focal, plan &amp; budget, CB, REP, PE, AMP, FM, REP,  PM, LM, LED, GD, ESMS, AT, PC, CH, M&amp;E Specialists or all focal persons </t>
  </si>
  <si>
    <t>CB &amp; FM</t>
  </si>
  <si>
    <t>Subtotal</t>
  </si>
  <si>
    <t>Pillar 2: Micro &amp; Small Enterprise and Urban Productivity (Economy)</t>
  </si>
  <si>
    <t>Problem of attitude because of lack of training</t>
  </si>
  <si>
    <t>less encareging of bisness plan idea</t>
  </si>
  <si>
    <t>public pribat dialoge work shop</t>
  </si>
  <si>
    <t>Pillar 3: Urban Developmental Good Governance &amp; Services</t>
  </si>
  <si>
    <t>A &amp; T and UP</t>
  </si>
  <si>
    <t>Classroom training b) On-job trainings</t>
  </si>
  <si>
    <t>Lack of awareness and ownership</t>
  </si>
  <si>
    <t xml:space="preserve"> Classroom training</t>
  </si>
  <si>
    <t xml:space="preserve"> Learning exchange</t>
  </si>
  <si>
    <t>Pillar 4: Urban Planning, Land Development and Management</t>
  </si>
  <si>
    <t>LM and UP</t>
  </si>
  <si>
    <t>Shortage of sufficient land inventory because of commitment problem</t>
  </si>
  <si>
    <t>UP</t>
  </si>
  <si>
    <t>Shortage of integration with others</t>
  </si>
  <si>
    <t>LED&amp;UP</t>
  </si>
  <si>
    <t>Lack of integration with others, turnover of professionals, awareness problem</t>
  </si>
  <si>
    <t>ESMS</t>
  </si>
  <si>
    <t>Problem of commitment, lack of integration</t>
  </si>
  <si>
    <t>UR &amp; DRM</t>
  </si>
  <si>
    <t>FM &amp; A and CB</t>
  </si>
  <si>
    <t>PM</t>
  </si>
  <si>
    <t>GED</t>
  </si>
  <si>
    <t xml:space="preserve">decision making skill gap </t>
  </si>
  <si>
    <t>Training</t>
  </si>
  <si>
    <t>gender development plan preparetion gap</t>
  </si>
  <si>
    <t>Lack of awareness</t>
  </si>
  <si>
    <t>sub total</t>
  </si>
  <si>
    <t>Training total</t>
  </si>
  <si>
    <t xml:space="preserve">Supporting office equipments for the sector </t>
  </si>
  <si>
    <t>lack of office equipments</t>
  </si>
  <si>
    <t>No. of equipments</t>
  </si>
  <si>
    <t>Total Capacity Building Plan for EFY 2011</t>
  </si>
  <si>
    <t>Performance indicators</t>
  </si>
  <si>
    <t>Annual Target</t>
  </si>
  <si>
    <t xml:space="preserve">Implementation period </t>
  </si>
  <si>
    <t>Executors</t>
  </si>
  <si>
    <t xml:space="preserve">Packaging (goods, works, services, trainings </t>
  </si>
  <si>
    <t>Financial requirement in (Birr)</t>
  </si>
  <si>
    <t>Municipality</t>
  </si>
  <si>
    <t>Municipality and finance</t>
  </si>
  <si>
    <t xml:space="preserve">finance </t>
  </si>
  <si>
    <t>Gender office</t>
  </si>
  <si>
    <t xml:space="preserve"> </t>
  </si>
  <si>
    <t>Motor Bike</t>
  </si>
  <si>
    <t>Desktop Computer</t>
  </si>
  <si>
    <t>Laptop Computer</t>
  </si>
  <si>
    <t>Managerial Chair</t>
  </si>
  <si>
    <t>Video Camera</t>
  </si>
  <si>
    <r>
      <t>M</t>
    </r>
    <r>
      <rPr>
        <vertAlign val="superscript"/>
        <sz val="12"/>
        <color rgb="FFFF0000"/>
        <rFont val="Calibri"/>
        <family val="2"/>
      </rPr>
      <t>2</t>
    </r>
  </si>
  <si>
    <t>Economic &amp; Social Services(Rolled)</t>
  </si>
  <si>
    <t>Economic &amp; Social Services(New Projects) Total</t>
  </si>
  <si>
    <t>Economic &amp; Social Services(Rolled Projects)</t>
  </si>
  <si>
    <t>Solid Waste Total</t>
  </si>
  <si>
    <t>Asphalt Median and Greenary</t>
  </si>
  <si>
    <t>2020/2021(2013E.C)</t>
  </si>
  <si>
    <t>ASPHALT TO GETAHUN AYELE &amp; GETAHUN LEMA TO GABALE TSARA</t>
  </si>
  <si>
    <t>M2</t>
  </si>
  <si>
    <t>ZERIHUN ZUMA TO TESFAYE DURE</t>
  </si>
  <si>
    <t xml:space="preserve">FROM CHICHE CHIBIRE  TO TADELECH SHITAYE &amp; LISANEWORK TO OLD BRIDGE </t>
  </si>
  <si>
    <t>FROM AREGAWIYAN TO GULCHA DOKILE &amp; YAPA YAYA TO ZENEBE ZIDA</t>
  </si>
  <si>
    <t>HAILEMICHAEL HALALA TO BELAYNESH MERGIYA</t>
  </si>
  <si>
    <t>ASHEBIR ASFA THROUGH ASFAW DAGNIE TO G/MEDIHIN ADINEW</t>
  </si>
  <si>
    <t>ABEBE GEZAHAGN THROUGH MENGISTU MARKA TO PETROS</t>
  </si>
  <si>
    <t>SOLOMON CHODA TO BITANE MENZA</t>
  </si>
  <si>
    <t>DAMENE TO SENODOS WOFCHO BET</t>
  </si>
  <si>
    <t>MATEYOS LOHA TO KES KETEMA, MENZA TO AWUDE AHMED &amp; CHAIN ACADAMY TO ASNAKECH LENCHA</t>
  </si>
  <si>
    <t>HUSEN YIMER TO ASKALECH GIZACHEW, LIYU MEAZA TO NATINAEL, TAGESE CHAFO TO MEDIHANIT METASEBIYA &amp; DESALEGN LAFAMO TO MEKONNEN</t>
  </si>
  <si>
    <t>GETACHEW SEMERE TO ASPHALT</t>
  </si>
  <si>
    <t>CHALACHEW TAMIRU TO TESFAYE HAILE &amp; BEDILU TO TIRUYE</t>
  </si>
  <si>
    <t>WANSO WASHA TO THOMAS WASHE &amp; JINKA BER TO MULUWONGEL</t>
  </si>
  <si>
    <t>TSIGEREDA KEBEDE TO MENGISTU WORKU &amp; D/R TESFAYE TO TADELE YILMA</t>
  </si>
  <si>
    <t>LABIYAJO THROUGH TSEGAYE BEKELE TO MOLA HABTE</t>
  </si>
  <si>
    <t>MOLA HABTE THROUGH ASCHENAKI MAMO TO NEW ASPHALT</t>
  </si>
  <si>
    <t>SHEWAYE MINDAYE THROUGH NEW CULVERT TO WONDWOSEN WUBAYEHU</t>
  </si>
  <si>
    <t>TESFAYE KOIRA THROUGH ALMAZ ALEMAYEHU TO GUDELA KUSIYA</t>
  </si>
  <si>
    <t>KASAHUN GEZAHAGN TO MINJA, MINJA TO WONBERA,  WONBERA TO DEBEBE LOFA</t>
  </si>
  <si>
    <t xml:space="preserve">KASAHUN GEZAHAGN TO MENGISTU MEYA &amp; ETENESH BEKELE TO DEREJE ALEMU </t>
  </si>
  <si>
    <t>ADDIS ALEMAYEHU WOFCHO BET TO DEBEBE MAMACHA</t>
  </si>
  <si>
    <t>ABUGIYA SHILE TO YIFTUSIRA MOLA</t>
  </si>
  <si>
    <t>WADA DERE TO DEBEBE BIRHANE</t>
  </si>
  <si>
    <t>RAHEL KULINO TO W/RO BIRHANE KASA</t>
  </si>
  <si>
    <t>EJIGAYEHU DEBREWORK TO MESERET ADANE</t>
  </si>
  <si>
    <t>TESFAYE TEFERA TO BEZABIH WADA &amp; AKIRSO KORA TO BONO</t>
  </si>
  <si>
    <t>BRIDGE TO TESFAYE WORKINEH</t>
  </si>
  <si>
    <t>GEDA GAZE TO MATEYOS ASHA</t>
  </si>
  <si>
    <t>GIRMA SANA TO BEKELE TADESE</t>
  </si>
  <si>
    <t>DAWIT DORKE THROUGH SAMSON TO GEZMO TINKU</t>
  </si>
  <si>
    <t>BIRKABY THROUGH ABERA MOTA TO ENDALE H/MESKEL</t>
  </si>
  <si>
    <t>KALEB KANKO TO DIDO ABUTE</t>
  </si>
  <si>
    <t>YISIHAK MENA TO WONDIYIFRAW</t>
  </si>
  <si>
    <t>CHAMO CAMPUS ASPHALT TO BEHAILU ABOTA</t>
  </si>
  <si>
    <t>AZENEH TEKA TO GORGE &amp; BIZUNEH BUSA TO BISAF LEMA</t>
  </si>
  <si>
    <t>S/R YIRGEDU MENGESHA TO SIYERE MEKURIYA</t>
  </si>
  <si>
    <t>HIBRET LELIMAT SCHOOL CULVERT</t>
  </si>
  <si>
    <t>SINODOS CULVERT</t>
  </si>
  <si>
    <t>CATHOLIC MISSION CULVERT</t>
  </si>
  <si>
    <t>GURBA CULVERT</t>
  </si>
  <si>
    <t>MAMO MEKURIYA BRIDGE/GEBRIEL MESHAGERIYA</t>
  </si>
  <si>
    <t xml:space="preserve"> SENODOS SEFER &amp;  AT THE BACK OF TEXTILE FACTORY</t>
  </si>
  <si>
    <t>Water Supply Project</t>
  </si>
  <si>
    <t>WATER SUPPLY PROJECT AT THE BACK OF TEXTILE FACTORY</t>
  </si>
  <si>
    <t>Water Supply Project Total</t>
  </si>
  <si>
    <t>1.1.22</t>
  </si>
  <si>
    <t>1.1.23</t>
  </si>
  <si>
    <t>1.1.24</t>
  </si>
  <si>
    <t>1.1.25</t>
  </si>
  <si>
    <t>1.1.26</t>
  </si>
  <si>
    <t>1.1.27</t>
  </si>
  <si>
    <t>1.1.28</t>
  </si>
  <si>
    <t>From Ato Dubale Dunke to S/R Yirgedu, Alemu Ano to Mewale Hitsan Block 4</t>
  </si>
  <si>
    <t>From Alemu Ano to Pawlos Genta</t>
  </si>
  <si>
    <t>Public Park at the side of Kulufo river phase-3</t>
  </si>
  <si>
    <t>Omo Hall Compound Greenary Development phase-II</t>
  </si>
  <si>
    <t>Public Park at the side of Kulufo river  phase-III</t>
  </si>
  <si>
    <t>Rolled Culvert &amp; Bridge construction</t>
  </si>
  <si>
    <t xml:space="preserve">Chamo Campus University Fence  Culvert </t>
  </si>
  <si>
    <t>1.2.5</t>
  </si>
  <si>
    <t>1.2.6</t>
  </si>
  <si>
    <t>1.2.7</t>
  </si>
  <si>
    <t>1.2.8</t>
  </si>
  <si>
    <t>1.2.9</t>
  </si>
  <si>
    <t>1.2.10</t>
  </si>
  <si>
    <t>1.2.11</t>
  </si>
  <si>
    <t>Omo Hall Compound Greenary Development phase-2</t>
  </si>
  <si>
    <t>From Referral Hospital to Lemlem Square phase-2</t>
  </si>
  <si>
    <t>Rolled Asphalt Median Development</t>
  </si>
  <si>
    <t>Rolled Asphalt Median Development total</t>
  </si>
  <si>
    <t>Economic &amp; Social Services(Rolled Projects)Total</t>
  </si>
  <si>
    <t>Estimated Amount  in ETH. Bir</t>
  </si>
  <si>
    <t>Estimated Amount for 2012 EFY in ETH. Birr</t>
  </si>
  <si>
    <t>Estimated Amount  in ETH. Birr</t>
  </si>
  <si>
    <t>Estimated Amount for 2013 EFY in ETH. Birr</t>
  </si>
  <si>
    <t>Economic &amp; Social Services(Rolled)Total</t>
  </si>
  <si>
    <t>Solid Waste (Rolled) total</t>
  </si>
  <si>
    <t>Solid Waste (Rolled)</t>
  </si>
  <si>
    <t>Environmental Services (Rolled) Total</t>
  </si>
  <si>
    <t xml:space="preserve">Omo Hall Compound Greenary Development phase-2 </t>
  </si>
  <si>
    <t xml:space="preserve">From Referral Hospital to Lemlem Square phase-2 </t>
  </si>
  <si>
    <t>Buildings (Rolled) Total</t>
  </si>
  <si>
    <t>WATER SUPPLY</t>
  </si>
  <si>
    <t>WATER SUPPLY Total</t>
  </si>
  <si>
    <t>IBEX Total</t>
  </si>
  <si>
    <t>NON UIIDP</t>
  </si>
  <si>
    <t>EFY 2015</t>
  </si>
  <si>
    <t>2019/20 GC</t>
  </si>
  <si>
    <t>(2020/2021)</t>
  </si>
  <si>
    <t>(2022/2023)</t>
  </si>
  <si>
    <t>Title: Annual Action Plan (2013 E.C.)</t>
  </si>
  <si>
    <t>EFY 2013  ( ETB)</t>
  </si>
  <si>
    <t>2019/20 GC (Actual)</t>
  </si>
  <si>
    <t>(2022/23)</t>
  </si>
  <si>
    <t>DESALEGN DATA TO MEKANEYESUS GUEST HOUSE</t>
  </si>
  <si>
    <t xml:space="preserve">TAKELE TESEMA TO ELIYAS GAGA </t>
  </si>
  <si>
    <t>BOMBOLO AGIDEW TO ASPHALT</t>
  </si>
  <si>
    <t>MOGES W/AMANUEL TO AEMIRO ALTO &amp; MINALU BULGO TO TULO BOYZO</t>
  </si>
  <si>
    <t>1.1.29</t>
  </si>
  <si>
    <t>1.1.30</t>
  </si>
  <si>
    <t xml:space="preserve"> DESALEGN DATA TO MEKANEYESUS GUEST HOUSE</t>
  </si>
  <si>
    <t>Infrastructure Category</t>
  </si>
  <si>
    <t>Responsible  Department</t>
  </si>
  <si>
    <t>No. of Staff</t>
  </si>
  <si>
    <t>Required</t>
  </si>
  <si>
    <t>Available</t>
  </si>
  <si>
    <t>Performance capacity building department</t>
  </si>
  <si>
    <t>Water supply Office</t>
  </si>
  <si>
    <t>Social and Economic Services</t>
  </si>
  <si>
    <t>Food security and job creation department</t>
  </si>
  <si>
    <r>
      <t>Table 1.</t>
    </r>
    <r>
      <rPr>
        <b/>
        <sz val="7"/>
        <color rgb="FF000000"/>
        <rFont val="Times New Roman"/>
        <family val="1"/>
      </rPr>
      <t xml:space="preserve"> </t>
    </r>
    <r>
      <rPr>
        <b/>
        <sz val="12"/>
        <color rgb="FF000000"/>
        <rFont val="Times New Roman"/>
        <family val="1"/>
      </rPr>
      <t>Staffing for Delivery and Management of the CIP</t>
    </r>
  </si>
  <si>
    <t xml:space="preserve">                              Contract Finalization</t>
  </si>
  <si>
    <t>KULIFO GREENERY SITE DITCH</t>
  </si>
  <si>
    <t>Arbaminch/UIIDP/CW-001/2020</t>
  </si>
  <si>
    <t>Arbaminch/UIIDP/CW-002/2020</t>
  </si>
  <si>
    <t>Arbaminch/UIIDP/CW-003/2020</t>
  </si>
  <si>
    <t>Arbaminch/UIIDP/CW-004/2020</t>
  </si>
  <si>
    <t>Arbaminch/UIIDP/CW-005/2020</t>
  </si>
  <si>
    <t>Arbaminch/UIIDP/CW-006/2020</t>
  </si>
  <si>
    <t>Arbaminch/UIIDP/CW-0007/2020</t>
  </si>
  <si>
    <t>Arbaminch/UIIDP/CW-008/2020</t>
  </si>
  <si>
    <t>Arbaminch/UIIDP/CW-009/2020</t>
  </si>
  <si>
    <t>Arbaminch/UIIDP/CW-010/2020</t>
  </si>
  <si>
    <t>Arbaminch/UIIDP/CW-011/2020</t>
  </si>
  <si>
    <t>Arbaminch/UIIDP/CW-012/2020</t>
  </si>
  <si>
    <t>Arbaminch/UIIDP/CW-013/2020</t>
  </si>
  <si>
    <t>Arbaminch/UIIDP/CW-014/2020</t>
  </si>
  <si>
    <t>Arbaminch/UIIDP/CW-015/2020</t>
  </si>
  <si>
    <t>Arbaminch/UIIDP/CW-016/2020</t>
  </si>
  <si>
    <t>Arbaminch/UIIDP/CW-017/2020</t>
  </si>
  <si>
    <t>Arbaminch/UIIDP/CW-018/2020</t>
  </si>
  <si>
    <t>Arbaminch/UIIDP/CW-019/2020</t>
  </si>
  <si>
    <t>Arbaminch/UIIDP/CW-020/2020</t>
  </si>
  <si>
    <t>Arbaminch/UIIDP/CW-021/2020</t>
  </si>
  <si>
    <t>Arbaminch/UIIDP/CW-022/2020</t>
  </si>
  <si>
    <t>Arbaminch/UIIDP/CW-023/2020</t>
  </si>
  <si>
    <t>Arbaminch/UIIDP/CW-024/2020</t>
  </si>
  <si>
    <t>Arbaminch/UIIDP/CW-025/2020</t>
  </si>
  <si>
    <t>Arbaminch/UIIDP/CW-026/2020</t>
  </si>
  <si>
    <t>Arbaminch/UIIDP/CW-027/2020</t>
  </si>
  <si>
    <t>Arbaminch/UIIDP/CW-028/2020</t>
  </si>
  <si>
    <t>Arbaminch/UIIDP/CW-029/2020</t>
  </si>
  <si>
    <t>Arbaminch/UIIDP/CW-030/2020</t>
  </si>
  <si>
    <t>Arbaminch/UIIDP/CW-031/2020</t>
  </si>
  <si>
    <t>Arbaminch/UIIDP/CW-032/2020</t>
  </si>
  <si>
    <t>Arbaminch/UIIDP/CW-033/2020</t>
  </si>
  <si>
    <t>Arbaminch/UIIDP/CW-034/2020</t>
  </si>
  <si>
    <t>Arbaminch/UIIDP/CW-035/2020</t>
  </si>
  <si>
    <t>Arbaminch/UIIDP/CW-036/2020</t>
  </si>
  <si>
    <t>Arbaminch/UIIDP/CW-037/2020</t>
  </si>
  <si>
    <t>Arbaminch/UIIDP/CW-038/2020</t>
  </si>
  <si>
    <t>Arbaminch/UIIDP/CW-039/2020</t>
  </si>
  <si>
    <t>Arbaminch/UIIDP/CW-040/2020</t>
  </si>
  <si>
    <t>Arbaminch/UIIDP/CW-041/2020</t>
  </si>
  <si>
    <t>Arbaminch/UIIDP/CW-042/2020</t>
  </si>
  <si>
    <t>Arbaminch/UIIDP/CW-043/2020</t>
  </si>
  <si>
    <t>Arbaminch/UIIDP/CW-044/2020</t>
  </si>
  <si>
    <t>Arbaminch/UIIDP/CW-045/2020</t>
  </si>
  <si>
    <t>Arbaminch/UIIDP/CW-046/2020</t>
  </si>
  <si>
    <t>Arbaminch/UIIDP/CW-047/2020</t>
  </si>
  <si>
    <t>Arbaminch/UIIDP/CW-048/2020</t>
  </si>
  <si>
    <t>Arbaminch/UIIDP/CW-049/2020</t>
  </si>
  <si>
    <t>Arbaminch/UIIDP/CW-050/2020</t>
  </si>
  <si>
    <t>Arbaminch/UIIDP/CW-044/2019</t>
  </si>
  <si>
    <t>Arbaminch/UIIDP/CW-006/2019</t>
  </si>
  <si>
    <t>Arbaminch/UIIDP/CW-026/2019</t>
  </si>
  <si>
    <t>Arbaminch/UIIDP/CW-027/2019</t>
  </si>
  <si>
    <t>Arbaminch/UIIDP/CW-030/2019</t>
  </si>
  <si>
    <t>Arbaminch/UIIDP/CW-028/2019</t>
  </si>
  <si>
    <t>1.2.12</t>
  </si>
  <si>
    <t>Arbaminch/State/CW-043/2018</t>
  </si>
  <si>
    <t>Arbaminch/Non UIIDP/CW-040/2019</t>
  </si>
  <si>
    <t>Arbaminch/Non UIIDP/CW-041/2019</t>
  </si>
  <si>
    <t>UIIDP NEW</t>
  </si>
  <si>
    <t>UIIDP ROLLED</t>
  </si>
  <si>
    <t>STATE</t>
  </si>
  <si>
    <t>MUNICIPAL</t>
  </si>
  <si>
    <t>TSEGAYE H/GIORGIS BRIDGE/GEBRIEL MESHAGERIYA</t>
  </si>
  <si>
    <t>LIMAT</t>
  </si>
  <si>
    <t>GURBA</t>
  </si>
  <si>
    <t>NECH SAR</t>
  </si>
  <si>
    <t>SHECHA</t>
  </si>
  <si>
    <t>BERE EDGET BER</t>
  </si>
  <si>
    <t>SIKELA</t>
  </si>
  <si>
    <t>SHECHA &amp; NECH SAR</t>
  </si>
  <si>
    <t>LIMAT &amp; NECH SAR</t>
  </si>
  <si>
    <t>City officials &amp; Professionals</t>
  </si>
  <si>
    <t>1.6.3</t>
  </si>
  <si>
    <t>1.6.4</t>
  </si>
  <si>
    <t>1.6.5</t>
  </si>
  <si>
    <t>1.6.6</t>
  </si>
  <si>
    <t>1.6.7</t>
  </si>
  <si>
    <t>1.6.8</t>
  </si>
  <si>
    <t>1.6.9</t>
  </si>
  <si>
    <t>1.6.10</t>
  </si>
  <si>
    <t>1.6.11</t>
  </si>
  <si>
    <t>1.6.12</t>
  </si>
  <si>
    <r>
      <t>Table 4. Projects Identified by the Community at 2</t>
    </r>
    <r>
      <rPr>
        <b/>
        <vertAlign val="superscript"/>
        <sz val="12"/>
        <color theme="1"/>
        <rFont val="Times New Roman"/>
        <family val="1"/>
      </rPr>
      <t>nd</t>
    </r>
    <r>
      <rPr>
        <b/>
        <sz val="12"/>
        <color theme="1"/>
        <rFont val="Times New Roman"/>
        <family val="1"/>
      </rPr>
      <t>Round of Consultations at City Level</t>
    </r>
  </si>
  <si>
    <t>Year (E.C)</t>
  </si>
  <si>
    <t xml:space="preserve">Induction training will be conducted for newly assigned  leaders and focal persons on  overall view of UIIDP   </t>
  </si>
  <si>
    <t>Provide training   on CIP for those implimentors requiring special support.</t>
  </si>
  <si>
    <t xml:space="preserve"> Experience sharing program will be conducted for City council representatives,  steering committee  and UIIDP  programe focal persons to scaling up best practices of  Programme planning management, implementation  and evaluation systems from Debrezeit City</t>
  </si>
  <si>
    <t>Awareness creation training will be provided for leaders, enterprises and industry development sector experts and community on job creation, guidelines of selection of jobless youths and organization, preparation of  business plan and audit system  of MSEs</t>
  </si>
  <si>
    <t xml:space="preserve"> Computation will be conducted among MSEs on new business idea innovation in the city</t>
  </si>
  <si>
    <t>Awareness creation Training will be provided  for municipality, administration and finance anti-corruption and compliance handling units, steering committee,  focal persons, leaders and community representatives on corruption attitudes,  practices, challenges and transparency and accountability of project implementation.</t>
  </si>
  <si>
    <t>Provision of Training to strength kebele leaders and community development  committee  on good governance issues specially land related cases</t>
  </si>
  <si>
    <t xml:space="preserve">Giving Training on, revision of ten years city plan, asset inventory in GIS for land management experts and community members. </t>
  </si>
  <si>
    <t xml:space="preserve">The awareness  creation training will be given on land inventory for  cadaster experts, leaders, council members and community </t>
  </si>
  <si>
    <t xml:space="preserve">Pillar 5: Integrated Urban Infrastructure </t>
  </si>
  <si>
    <t xml:space="preserve"> Awareness creation training will be prepared for focal persons, steering committee ,community representatives on guideline for project site selection, distribution, administration and implementation strategy</t>
  </si>
  <si>
    <t>Providing Training on preparing of construction cost estimation and bid for construction office engineers, professionals and leaders.</t>
  </si>
  <si>
    <t>Pillar 6: Environmental, Green Services &amp; Recreation</t>
  </si>
  <si>
    <t>providing Training on how to make safe, clean, green  and waste management for community/citizen through building sense of ownership</t>
  </si>
  <si>
    <t xml:space="preserve">Pillar 7: Resilient, Inclusive and Safer Cities </t>
  </si>
  <si>
    <t>Providing Training  on risk map preparation, risk gap assessment and  risk management for resilient department professionals, leaders and community members to make safe city</t>
  </si>
  <si>
    <t xml:space="preserve">Pillar 8: Urban Finance </t>
  </si>
  <si>
    <t xml:space="preserve"> Providing training for Finance office heads, Procurement committee, auditors and stakeholders on finance transparency and accountability, procurement guidelines and project agreement implementation in order to implement  the proposed tasks based  required quality and types   at right cost and time to improve the  project effectiveness and efficiency.</t>
  </si>
  <si>
    <t xml:space="preserve">  Refreshment training will be prepared for all stakeholders on IBEX, other basic computer software applications. </t>
  </si>
  <si>
    <t>Training will be given for Revenue branch employees, municipality and trade and marketing development experts on tax assessment, tax administration and revenue collection system   to maximize revenue bases in order to improve municipality Revenue.</t>
  </si>
  <si>
    <t>REP</t>
  </si>
  <si>
    <t xml:space="preserve">Weak performance on  revenue </t>
  </si>
  <si>
    <t>Refreshing training will be prepared for newly recruited employees on SIGTAS and basic computer skills to ensure quality data for tax payers.</t>
  </si>
  <si>
    <t>Lack of software knowledge and skill</t>
  </si>
  <si>
    <t xml:space="preserve">Provide training for  gender focal persons and other concerned experts on how to mainstreaming gender into all development plan in the city      </t>
  </si>
  <si>
    <t>Provide training for UIIDP SME heads, civil contractors and government officials as to facilitate equal payment for the same jobs regardless of gender difference.</t>
  </si>
  <si>
    <t>Lack of strategic leadership</t>
  </si>
  <si>
    <t>Lack of awareness on the new programme and contineous integration</t>
  </si>
  <si>
    <t>P&amp;B and M&amp;E</t>
  </si>
  <si>
    <t>Lack experience, exchange knowledge</t>
  </si>
  <si>
    <t>LED&amp;JC</t>
  </si>
  <si>
    <t xml:space="preserve">Community conflict, lack of commitment on the program implantation  </t>
  </si>
  <si>
    <t>Lack of knowledge, commitment</t>
  </si>
  <si>
    <t>CB&amp;FM</t>
  </si>
  <si>
    <t>Weak focus/attention,</t>
  </si>
  <si>
    <t xml:space="preserve">  LED&amp;UP</t>
  </si>
  <si>
    <t xml:space="preserve"> Poor attention  on  environment protection</t>
  </si>
  <si>
    <t xml:space="preserve">lack of  knowledge, weak commitment </t>
  </si>
  <si>
    <t>Lack of awareness and attention</t>
  </si>
  <si>
    <t xml:space="preserve">   Weak performance</t>
  </si>
  <si>
    <t>Revenue</t>
  </si>
  <si>
    <t xml:space="preserve">     Low Participation  of women in decision</t>
  </si>
  <si>
    <t>Knowledge and skill gap on planning</t>
  </si>
  <si>
    <t>goods</t>
  </si>
  <si>
    <t>Table 19. UIIDP Capacity Building Plan of the City for EFY 2013</t>
  </si>
  <si>
    <t xml:space="preserve">Pillar 9- Institutionalizing Gender issue </t>
  </si>
  <si>
    <r>
      <t>LED</t>
    </r>
    <r>
      <rPr>
        <sz val="8"/>
        <rFont val="Calibri"/>
        <family val="2"/>
      </rPr>
      <t>&amp;</t>
    </r>
    <r>
      <rPr>
        <sz val="8"/>
        <rFont val="Calibri"/>
        <family val="2"/>
        <scheme val="minor"/>
      </rPr>
      <t>JC</t>
    </r>
  </si>
  <si>
    <t>Packaging: Goods, Works, Services, Training Adm.</t>
  </si>
  <si>
    <t>Total Capacity Building Plan for EFY 2013</t>
  </si>
  <si>
    <t>Vehicles</t>
  </si>
  <si>
    <t>Black Printer</t>
  </si>
  <si>
    <t>Photocopy Machin</t>
  </si>
  <si>
    <t>Furniture</t>
  </si>
  <si>
    <t>Four sub cities cobble Stone Road Maintenance</t>
  </si>
  <si>
    <t>Four sub cities gravel road Maintenance</t>
  </si>
  <si>
    <t>Infrastructure sub category</t>
  </si>
  <si>
    <t>Total Cost for 3 years</t>
  </si>
  <si>
    <t>Maintenance Budget for EFY 2013</t>
  </si>
  <si>
    <t>Maintenance Budget for EFY 2014</t>
  </si>
  <si>
    <t>Maintenance Budget for EFY 2015</t>
  </si>
  <si>
    <t>Single Chair</t>
  </si>
  <si>
    <t>Arbaminch/Munic/Maint-001/2020</t>
  </si>
  <si>
    <t>Arbaminch/Munic/Maint-002/2020</t>
  </si>
  <si>
    <t>Arbaminch/Munic/Maint-003/2020</t>
  </si>
  <si>
    <t>Arbaminch/Munic/Maint-005/2020</t>
  </si>
  <si>
    <t>Arbaminch/Munic/Maint-006/2020</t>
  </si>
  <si>
    <t>Arbaminch/Munic/Maint-007/2020</t>
  </si>
  <si>
    <t>Arbaminch/Munic/Maint-008/2020</t>
  </si>
  <si>
    <t>Arbaminch/Munic/Maint-009/2020</t>
  </si>
  <si>
    <t>Arbaminch/Munic/Maint-004/2020</t>
  </si>
  <si>
    <t>Arbaminch/Munic/Maint-010/2020</t>
  </si>
  <si>
    <t>Arbaminch/UIIDP/G-001/2020</t>
  </si>
  <si>
    <t>Arbaminch/UIIDP/G-002/2020</t>
  </si>
  <si>
    <t xml:space="preserve">Regional Contribution (41.46%) </t>
  </si>
  <si>
    <t>City Contribution (41.46%)</t>
  </si>
  <si>
    <t>2013 EFY</t>
  </si>
  <si>
    <t>2014 EFY</t>
  </si>
  <si>
    <t>2015 EFY</t>
  </si>
  <si>
    <t xml:space="preserve"> Annual Total for EFY 2013</t>
  </si>
  <si>
    <t>Total CIP Job Creation</t>
  </si>
  <si>
    <t xml:space="preserve">  ,, MK,</t>
  </si>
  <si>
    <t>Total IDA related capita revenues</t>
  </si>
  <si>
    <t>Other revenue/Aid/</t>
  </si>
  <si>
    <t>35+36+37</t>
  </si>
  <si>
    <t>City Officials (including kebele leaders)</t>
  </si>
  <si>
    <t>City Officials(including kebele leaders)</t>
  </si>
  <si>
    <t>001</t>
  </si>
  <si>
    <t>002</t>
  </si>
  <si>
    <t>003</t>
  </si>
  <si>
    <t>004</t>
  </si>
  <si>
    <t>005</t>
  </si>
  <si>
    <t>006</t>
  </si>
  <si>
    <t>007</t>
  </si>
  <si>
    <t>008</t>
  </si>
  <si>
    <t>009</t>
  </si>
  <si>
    <t>010</t>
  </si>
  <si>
    <t>011</t>
  </si>
  <si>
    <t>TSEGAYE H/GIORGIS BRIDGE</t>
  </si>
  <si>
    <t>Summary of Future Estimated Revenue and Expenditure Requirement</t>
  </si>
  <si>
    <t xml:space="preserve">baseline actual </t>
  </si>
  <si>
    <t>1+2+3+4+5</t>
  </si>
  <si>
    <t>8+9</t>
  </si>
  <si>
    <t>6+10</t>
  </si>
  <si>
    <t>Goods and services(Including 6245)</t>
  </si>
  <si>
    <t>15+16</t>
  </si>
  <si>
    <t>13+14+17+18</t>
  </si>
  <si>
    <t>11 minus 19</t>
  </si>
  <si>
    <t>21+22+23+24</t>
  </si>
  <si>
    <t>UIIDP  performance Grants for EFY 2013</t>
  </si>
  <si>
    <t>Zone Contribution to Performance grant /41.46%/</t>
  </si>
  <si>
    <t>City Contribution/41.46%/</t>
  </si>
  <si>
    <t>25 minus 28</t>
  </si>
  <si>
    <t>Municipal Capital Revenue for non-IDA related CIP Projects net of city contribution</t>
  </si>
  <si>
    <t>Compensation to be paid from 34</t>
  </si>
  <si>
    <t>31-32</t>
  </si>
  <si>
    <t xml:space="preserve">Municipal Net Capital Revenue for non-IDA related CIP Projects </t>
  </si>
  <si>
    <t>6100 (6110-6130)</t>
  </si>
  <si>
    <t>Salary and Emblements</t>
  </si>
  <si>
    <t>6200 (6210-6280)</t>
  </si>
  <si>
    <t>Repair and maintenance (R&amp;M) (6241+6242+….+6246)</t>
  </si>
  <si>
    <t>Vehicles and other movable properties R&amp;M</t>
  </si>
  <si>
    <t>Plant, Machinery and other related materials</t>
  </si>
  <si>
    <t>Buildings, Houses, materials inside buildings or houses</t>
  </si>
  <si>
    <t>Grants, payments, Compensation to others</t>
  </si>
  <si>
    <t>40+41+47+48</t>
  </si>
  <si>
    <t>Total State Recurrent Expenditure</t>
  </si>
  <si>
    <t>38minus48</t>
  </si>
  <si>
    <t>State Operating Surplus</t>
  </si>
  <si>
    <t>State Capital Expenditure excluding compensation</t>
  </si>
  <si>
    <t>49 minus 50</t>
  </si>
  <si>
    <t>State net surplus after capital expenditure</t>
  </si>
  <si>
    <t>State revenue subsidy to municipality capital expenditure, if any</t>
  </si>
  <si>
    <t>State revenue subsidy to municipality recurrent expenditure, if any</t>
  </si>
  <si>
    <t>30+33+50</t>
  </si>
  <si>
    <t xml:space="preserve">Chamo Campus University Fence    Culvert </t>
  </si>
  <si>
    <t>Cobblestone Road With ditch</t>
  </si>
  <si>
    <t xml:space="preserve">Electric Line Expansion </t>
  </si>
  <si>
    <t>Electric Line Expansion Total</t>
  </si>
  <si>
    <t>,</t>
  </si>
  <si>
    <t>KM</t>
  </si>
  <si>
    <t>Tamenech Tesfaye</t>
  </si>
  <si>
    <t>Vacuum Truck</t>
  </si>
  <si>
    <t>Solid Waste total</t>
  </si>
  <si>
    <t xml:space="preserve">Liquid Waste </t>
  </si>
  <si>
    <t>Liquid Waste total</t>
  </si>
  <si>
    <t>Vacuum truck</t>
  </si>
  <si>
    <t>Abattior truck</t>
  </si>
  <si>
    <t>Skip Loader (New)</t>
  </si>
  <si>
    <t>Skip Loader (Rolled)</t>
  </si>
  <si>
    <t>Vacuum truck (New)</t>
  </si>
  <si>
    <t>Electric Line Expansion</t>
  </si>
  <si>
    <t>Arbaminch/UIIDP/G-003/2020</t>
  </si>
  <si>
    <t>Arbaminch/UIIDP/G-004/2020</t>
  </si>
  <si>
    <t>Arbaminch/UIIDP/G-005/2020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</si>
</sst>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_);_(* \(#,##0.0\);_(* &quot;-&quot;??_);_(@_)"/>
    <numFmt numFmtId="165" formatCode="_(* #,##0_);_(* \(#,##0\);_(* &quot;-&quot;??_);_(@_)"/>
    <numFmt numFmtId="166" formatCode="_(* #,##0.000_);_(* \(#,##0.000\);_(* &quot;-&quot;??_);_(@_)"/>
    <numFmt numFmtId="167" formatCode="[$-409]dd\-mmm\-yy;@"/>
    <numFmt numFmtId="168" formatCode="[$-409]d\-mmm\-yy;@"/>
    <numFmt numFmtId="169" formatCode="#,##0.00000"/>
    <numFmt numFmtId="170" formatCode="0.0%"/>
    <numFmt numFmtId="171" formatCode="0.00000000000000"/>
    <numFmt numFmtId="172" formatCode="0.000000000000000"/>
    <numFmt numFmtId="173" formatCode="_(* #,##0.000000000_);_(* \(#,##0.000000000\);_(* &quot;-&quot;??_);_(@_)"/>
  </numFmts>
  <fonts count="10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b/>
      <sz val="12"/>
      <color rgb="FF000000"/>
      <name val="Times New Roman"/>
      <family val="1"/>
    </font>
    <font>
      <sz val="11"/>
      <color rgb="FF000000"/>
      <name val="Times New Roman"/>
      <family val="1"/>
    </font>
    <font>
      <sz val="12"/>
      <color theme="1"/>
      <name val="Times New Roman"/>
      <family val="1"/>
    </font>
    <font>
      <sz val="10"/>
      <color theme="1"/>
      <name val="Times New Roman"/>
      <family val="1"/>
    </font>
    <font>
      <sz val="8"/>
      <color theme="1"/>
      <name val="Times"/>
      <family val="1"/>
    </font>
    <font>
      <sz val="8"/>
      <name val="Times"/>
      <family val="1"/>
    </font>
    <font>
      <b/>
      <sz val="8"/>
      <color theme="1"/>
      <name val="Times"/>
      <family val="1"/>
    </font>
    <font>
      <b/>
      <sz val="11"/>
      <color rgb="FF000000"/>
      <name val="Times New Roman"/>
      <family val="1"/>
    </font>
    <font>
      <b/>
      <sz val="12"/>
      <name val="Times New Roman"/>
      <family val="1"/>
    </font>
    <font>
      <b/>
      <sz val="12"/>
      <color theme="1"/>
      <name val="Times New Roman"/>
      <family val="1"/>
    </font>
    <font>
      <b/>
      <sz val="8"/>
      <name val="Times New Roman"/>
      <family val="1"/>
    </font>
    <font>
      <sz val="8"/>
      <name val="Times New Roman"/>
      <family val="1"/>
    </font>
    <font>
      <sz val="8"/>
      <color theme="1"/>
      <name val="Times New Roman"/>
      <family val="1"/>
    </font>
    <font>
      <sz val="10"/>
      <name val="Arial"/>
      <family val="2"/>
    </font>
    <font>
      <b/>
      <i/>
      <sz val="8"/>
      <name val="Times New Roman"/>
      <family val="1"/>
    </font>
    <font>
      <i/>
      <sz val="8"/>
      <name val="Times New Roman"/>
      <family val="1"/>
    </font>
    <font>
      <b/>
      <sz val="8"/>
      <color theme="1"/>
      <name val="Times New Roman"/>
      <family val="1"/>
    </font>
    <font>
      <i/>
      <sz val="8"/>
      <name val="Times"/>
      <family val="1"/>
    </font>
    <font>
      <b/>
      <sz val="10"/>
      <name val="Times New Roman"/>
      <family val="1"/>
    </font>
    <font>
      <b/>
      <sz val="9"/>
      <color theme="1"/>
      <name val="Times New Roman"/>
      <family val="1"/>
    </font>
    <font>
      <b/>
      <sz val="9"/>
      <name val="Times New Roman"/>
      <family val="1"/>
    </font>
    <font>
      <b/>
      <sz val="10"/>
      <name val="Times"/>
      <family val="1"/>
    </font>
    <font>
      <sz val="8"/>
      <name val="Calibri"/>
      <family val="2"/>
      <scheme val="minor"/>
    </font>
    <font>
      <b/>
      <sz val="11"/>
      <name val="Times New Roman"/>
      <family val="1"/>
    </font>
    <font>
      <sz val="11"/>
      <name val="Times New Roman"/>
      <family val="1"/>
    </font>
    <font>
      <sz val="11"/>
      <color rgb="FF000000"/>
      <name val="Calibri"/>
      <family val="2"/>
    </font>
    <font>
      <sz val="12"/>
      <color rgb="FF000000"/>
      <name val="Times New Roman"/>
      <family val="1"/>
    </font>
    <font>
      <b/>
      <sz val="12"/>
      <color rgb="FF000000"/>
      <name val="Calibri"/>
      <family val="2"/>
    </font>
    <font>
      <b/>
      <sz val="11"/>
      <name val="Calibri"/>
      <family val="2"/>
      <scheme val="minor"/>
    </font>
    <font>
      <sz val="11"/>
      <name val="Calibri"/>
      <family val="2"/>
      <scheme val="minor"/>
    </font>
    <font>
      <u/>
      <sz val="11"/>
      <color theme="10"/>
      <name val="Calibri"/>
      <family val="2"/>
    </font>
    <font>
      <sz val="12"/>
      <name val="Times New Roman"/>
      <family val="1"/>
    </font>
    <font>
      <b/>
      <sz val="12"/>
      <name val="Times"/>
      <family val="1"/>
    </font>
    <font>
      <sz val="11"/>
      <name val="Times"/>
      <family val="1"/>
    </font>
    <font>
      <sz val="11"/>
      <color rgb="FF000000"/>
      <name val="Times"/>
      <family val="1"/>
    </font>
    <font>
      <sz val="14"/>
      <color theme="1"/>
      <name val="Times New Roman"/>
      <family val="1"/>
    </font>
    <font>
      <b/>
      <sz val="14"/>
      <name val="Times New Roman"/>
      <family val="1"/>
    </font>
    <font>
      <u/>
      <sz val="11"/>
      <name val="Calibri"/>
      <family val="2"/>
    </font>
    <font>
      <sz val="10"/>
      <name val="Calibri"/>
      <family val="2"/>
      <scheme val="minor"/>
    </font>
    <font>
      <sz val="10"/>
      <name val="Times New Roman"/>
      <family val="1"/>
    </font>
    <font>
      <b/>
      <sz val="10"/>
      <name val="Calibri"/>
      <family val="2"/>
      <scheme val="minor"/>
    </font>
    <font>
      <b/>
      <sz val="11"/>
      <color theme="1"/>
      <name val="Times New Roman"/>
      <family val="1"/>
    </font>
    <font>
      <b/>
      <sz val="10"/>
      <color theme="1"/>
      <name val="Times New Roman"/>
      <family val="1"/>
    </font>
    <font>
      <sz val="12"/>
      <color theme="1"/>
      <name val="Calibri"/>
      <family val="2"/>
      <scheme val="minor"/>
    </font>
    <font>
      <i/>
      <sz val="11"/>
      <name val="Times New Roman"/>
      <family val="1"/>
    </font>
    <font>
      <sz val="11"/>
      <color theme="1"/>
      <name val="Times"/>
      <family val="1"/>
    </font>
    <font>
      <vertAlign val="superscript"/>
      <sz val="11"/>
      <color indexed="8"/>
      <name val="Times"/>
      <family val="1"/>
    </font>
    <font>
      <sz val="10"/>
      <color rgb="FF000000"/>
      <name val="Times New Roman"/>
      <family val="1"/>
    </font>
    <font>
      <sz val="10"/>
      <name val="Times"/>
      <family val="1"/>
    </font>
    <font>
      <sz val="8"/>
      <color rgb="FFFF0000"/>
      <name val="Times New Roman"/>
      <family val="1"/>
    </font>
    <font>
      <b/>
      <sz val="10"/>
      <color rgb="FF000000"/>
      <name val="Times New Roman"/>
      <family val="1"/>
    </font>
    <font>
      <b/>
      <vertAlign val="superscript"/>
      <sz val="12"/>
      <color theme="1"/>
      <name val="Times New Roman"/>
      <family val="1"/>
    </font>
    <font>
      <sz val="11"/>
      <color rgb="FF3F3F76"/>
      <name val="Calibri"/>
      <family val="2"/>
      <scheme val="minor"/>
    </font>
    <font>
      <sz val="11"/>
      <color theme="0"/>
      <name val="Calibri"/>
      <family val="2"/>
      <scheme val="minor"/>
    </font>
    <font>
      <i/>
      <sz val="12"/>
      <name val="Times New Roman"/>
      <family val="1"/>
    </font>
    <font>
      <sz val="10"/>
      <color theme="1"/>
      <name val="Cambria"/>
      <family val="1"/>
      <scheme val="major"/>
    </font>
    <font>
      <b/>
      <sz val="11"/>
      <name val="Times"/>
      <family val="1"/>
    </font>
    <font>
      <b/>
      <sz val="7"/>
      <name val="Times New Roman"/>
      <family val="1"/>
    </font>
    <font>
      <sz val="7"/>
      <name val="Times New Roman"/>
      <family val="1"/>
    </font>
    <font>
      <sz val="9"/>
      <color theme="1"/>
      <name val="Times"/>
      <family val="1"/>
    </font>
    <font>
      <sz val="9"/>
      <name val="Times"/>
      <family val="1"/>
    </font>
    <font>
      <sz val="9"/>
      <color theme="1"/>
      <name val="Times New Roman"/>
      <family val="1"/>
    </font>
    <font>
      <sz val="11"/>
      <color rgb="FFFF0000"/>
      <name val="Calibri"/>
      <family val="2"/>
      <scheme val="minor"/>
    </font>
    <font>
      <sz val="12"/>
      <color rgb="FFFF0000"/>
      <name val="Times New Roman"/>
      <family val="1"/>
    </font>
    <font>
      <sz val="20"/>
      <color rgb="FFFF0000"/>
      <name val="Calibri"/>
      <family val="2"/>
    </font>
    <font>
      <vertAlign val="superscript"/>
      <sz val="12"/>
      <color rgb="FFFF0000"/>
      <name val="Calibri"/>
      <family val="2"/>
    </font>
    <font>
      <b/>
      <sz val="14"/>
      <color theme="1"/>
      <name val="Times New Roman"/>
      <family val="1"/>
    </font>
    <font>
      <b/>
      <i/>
      <sz val="12"/>
      <name val="Times New Roman"/>
      <family val="1"/>
    </font>
    <font>
      <b/>
      <sz val="14"/>
      <color rgb="FF000000"/>
      <name val="Times New Roman"/>
      <family val="1"/>
    </font>
    <font>
      <sz val="10"/>
      <color rgb="FFFF0000"/>
      <name val="Times New Roman"/>
      <family val="1"/>
    </font>
    <font>
      <sz val="10"/>
      <color rgb="FFFF0000"/>
      <name val="Times"/>
      <family val="1"/>
    </font>
    <font>
      <sz val="11"/>
      <color rgb="FFFF0000"/>
      <name val="Times"/>
      <family val="1"/>
    </font>
    <font>
      <sz val="11"/>
      <color rgb="FFFF0000"/>
      <name val="Times New Roman"/>
      <family val="1"/>
    </font>
    <font>
      <b/>
      <sz val="10"/>
      <color rgb="FFFF0000"/>
      <name val="Times New Roman"/>
      <family val="1"/>
    </font>
    <font>
      <sz val="8"/>
      <color rgb="FFFF0000"/>
      <name val="Times"/>
      <family val="1"/>
    </font>
    <font>
      <b/>
      <sz val="7"/>
      <color rgb="FF000000"/>
      <name val="Times New Roman"/>
      <family val="1"/>
    </font>
    <font>
      <sz val="14"/>
      <name val="Times New Roman"/>
      <family val="1"/>
    </font>
    <font>
      <i/>
      <sz val="14"/>
      <name val="Times New Roman"/>
      <family val="1"/>
    </font>
    <font>
      <b/>
      <sz val="10"/>
      <name val="Times"/>
    </font>
    <font>
      <sz val="9"/>
      <name val="Times New Roman"/>
      <family val="1"/>
    </font>
    <font>
      <b/>
      <sz val="8"/>
      <name val="Calibri"/>
      <family val="2"/>
      <scheme val="minor"/>
    </font>
    <font>
      <sz val="8"/>
      <name val="Calibri"/>
      <family val="2"/>
    </font>
    <font>
      <b/>
      <sz val="9"/>
      <name val="Calibri"/>
      <family val="2"/>
    </font>
    <font>
      <b/>
      <u/>
      <sz val="9"/>
      <name val="Times New Roman"/>
      <family val="1"/>
    </font>
    <font>
      <sz val="11"/>
      <name val="Times"/>
    </font>
    <font>
      <sz val="10"/>
      <color theme="1"/>
      <name val="Calibri"/>
      <family val="2"/>
      <scheme val="minor"/>
    </font>
    <font>
      <sz val="10"/>
      <color rgb="FF000000"/>
      <name val="Calibri"/>
      <family val="2"/>
      <scheme val="minor"/>
    </font>
    <font>
      <sz val="11"/>
      <color rgb="FF006100"/>
      <name val="Calibri"/>
      <family val="2"/>
      <scheme val="minor"/>
    </font>
    <font>
      <b/>
      <sz val="12"/>
      <color rgb="FF000000"/>
      <name val="Calibri"/>
      <family val="2"/>
      <scheme val="minor"/>
    </font>
    <font>
      <sz val="11"/>
      <color rgb="FF3F3F76"/>
      <name val="Times New Roman"/>
      <family val="1"/>
    </font>
    <font>
      <sz val="12"/>
      <color rgb="FF3F3F76"/>
      <name val="Times New Roman"/>
      <family val="1"/>
    </font>
    <font>
      <b/>
      <sz val="11"/>
      <color rgb="FFFFFFFF"/>
      <name val="Times New Roman"/>
      <family val="1"/>
    </font>
    <font>
      <b/>
      <sz val="10"/>
      <color rgb="FFFFFFFF"/>
      <name val="Times New Roman"/>
      <family val="1"/>
    </font>
    <font>
      <sz val="11"/>
      <color rgb="FF9C0006"/>
      <name val="Times New Roman"/>
      <family val="1"/>
    </font>
    <font>
      <sz val="10"/>
      <color rgb="FF9C0006"/>
      <name val="Times New Roman"/>
      <family val="1"/>
    </font>
    <font>
      <b/>
      <sz val="10"/>
      <color rgb="FF3F3F3F"/>
      <name val="Times New Roman"/>
      <family val="1"/>
    </font>
    <font>
      <sz val="10"/>
      <color theme="0"/>
      <name val="Calibri"/>
      <family val="2"/>
      <scheme val="minor"/>
    </font>
    <font>
      <b/>
      <sz val="10"/>
      <color rgb="FF006100"/>
      <name val="Calibri"/>
      <family val="2"/>
      <scheme val="minor"/>
    </font>
  </fonts>
  <fills count="54">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00B0F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FFE599"/>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rgb="FFFFF2CC"/>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9" tint="-0.249977111117893"/>
        <bgColor indexed="64"/>
      </patternFill>
    </fill>
    <fill>
      <patternFill patternType="solid">
        <fgColor rgb="FF9933FF"/>
        <bgColor indexed="64"/>
      </patternFill>
    </fill>
    <fill>
      <patternFill patternType="solid">
        <fgColor rgb="FFE2EFD9"/>
        <bgColor indexed="64"/>
      </patternFill>
    </fill>
    <fill>
      <patternFill patternType="solid">
        <fgColor rgb="FFFBE4D5"/>
        <bgColor indexed="64"/>
      </patternFill>
    </fill>
    <fill>
      <patternFill patternType="solid">
        <fgColor rgb="FF9CC2E5"/>
        <bgColor indexed="64"/>
      </patternFill>
    </fill>
    <fill>
      <patternFill patternType="solid">
        <fgColor rgb="FFC5D9F1"/>
        <bgColor indexed="64"/>
      </patternFill>
    </fill>
    <fill>
      <patternFill patternType="solid">
        <fgColor rgb="FFD9D9D9"/>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9BBB59"/>
        <bgColor indexed="64"/>
      </patternFill>
    </fill>
    <fill>
      <patternFill patternType="solid">
        <fgColor rgb="FFC6EFCE"/>
      </patternFill>
    </fill>
    <fill>
      <patternFill patternType="solid">
        <fgColor rgb="FFFFCC9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rgb="FFBFBFBF"/>
        <bgColor indexed="64"/>
      </patternFill>
    </fill>
  </fills>
  <borders count="1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diagonal/>
    </border>
    <border>
      <left style="double">
        <color indexed="64"/>
      </left>
      <right style="thin">
        <color indexed="64"/>
      </right>
      <top/>
      <bottom/>
      <diagonal/>
    </border>
    <border>
      <left/>
      <right style="thin">
        <color indexed="64"/>
      </right>
      <top/>
      <bottom/>
      <diagonal/>
    </border>
    <border>
      <left style="medium">
        <color indexed="64"/>
      </left>
      <right style="medium">
        <color indexed="64"/>
      </right>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double">
        <color indexed="64"/>
      </left>
      <right style="thin">
        <color indexed="64"/>
      </right>
      <top style="double">
        <color indexed="64"/>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thin">
        <color indexed="64"/>
      </left>
      <right/>
      <top/>
      <bottom style="thin">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diagonal/>
    </border>
    <border>
      <left style="medium">
        <color indexed="64"/>
      </left>
      <right style="medium">
        <color indexed="64"/>
      </right>
      <top/>
      <bottom style="medium">
        <color rgb="FF000000"/>
      </bottom>
      <diagonal/>
    </border>
    <border>
      <left/>
      <right style="medium">
        <color rgb="FFC00000"/>
      </right>
      <top style="medium">
        <color rgb="FFC00000"/>
      </top>
      <bottom style="medium">
        <color indexed="64"/>
      </bottom>
      <diagonal/>
    </border>
    <border>
      <left style="medium">
        <color rgb="FFC00000"/>
      </left>
      <right style="medium">
        <color indexed="64"/>
      </right>
      <top/>
      <bottom style="medium">
        <color indexed="64"/>
      </bottom>
      <diagonal/>
    </border>
    <border>
      <left style="medium">
        <color rgb="FFC00000"/>
      </left>
      <right style="medium">
        <color indexed="64"/>
      </right>
      <top/>
      <bottom style="medium">
        <color rgb="FFC00000"/>
      </bottom>
      <diagonal/>
    </border>
    <border>
      <left/>
      <right style="medium">
        <color rgb="FFC00000"/>
      </right>
      <top/>
      <bottom style="medium">
        <color rgb="FFC00000"/>
      </bottom>
      <diagonal/>
    </border>
    <border>
      <left/>
      <right style="medium">
        <color rgb="FFC00000"/>
      </right>
      <top/>
      <bottom style="medium">
        <color indexed="64"/>
      </bottom>
      <diagonal/>
    </border>
    <border>
      <left style="medium">
        <color rgb="FFC00000"/>
      </left>
      <right style="medium">
        <color indexed="64"/>
      </right>
      <top style="medium">
        <color rgb="FFC00000"/>
      </top>
      <bottom style="medium">
        <color indexed="64"/>
      </bottom>
      <diagonal/>
    </border>
    <border>
      <left style="medium">
        <color rgb="FFC00000"/>
      </left>
      <right/>
      <top style="medium">
        <color indexed="64"/>
      </top>
      <bottom style="medium">
        <color indexed="64"/>
      </bottom>
      <diagonal/>
    </border>
    <border>
      <left style="medium">
        <color rgb="FFC00000"/>
      </left>
      <right/>
      <top style="medium">
        <color indexed="64"/>
      </top>
      <bottom style="medium">
        <color rgb="FFC00000"/>
      </bottom>
      <diagonal/>
    </border>
    <border>
      <left style="medium">
        <color indexed="64"/>
      </left>
      <right/>
      <top style="medium">
        <color rgb="FFC00000"/>
      </top>
      <bottom style="medium">
        <color indexed="64"/>
      </bottom>
      <diagonal/>
    </border>
    <border>
      <left style="medium">
        <color indexed="64"/>
      </left>
      <right style="medium">
        <color rgb="FFC00000"/>
      </right>
      <top/>
      <bottom style="medium">
        <color indexed="64"/>
      </bottom>
      <diagonal/>
    </border>
    <border>
      <left style="medium">
        <color rgb="FFC00000"/>
      </left>
      <right/>
      <top style="medium">
        <color rgb="FFC00000"/>
      </top>
      <bottom/>
      <diagonal/>
    </border>
    <border>
      <left style="medium">
        <color indexed="64"/>
      </left>
      <right/>
      <top style="medium">
        <color indexed="64"/>
      </top>
      <bottom style="medium">
        <color rgb="FFC00000"/>
      </bottom>
      <diagonal/>
    </border>
    <border>
      <left/>
      <right style="medium">
        <color rgb="FFC00000"/>
      </right>
      <top style="medium">
        <color indexed="64"/>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top style="medium">
        <color indexed="64"/>
      </top>
      <bottom/>
      <diagonal/>
    </border>
    <border>
      <left style="thin">
        <color auto="1"/>
      </left>
      <right/>
      <top/>
      <bottom style="medium">
        <color auto="1"/>
      </bottom>
      <diagonal/>
    </border>
    <border>
      <left style="hair">
        <color indexed="64"/>
      </left>
      <right style="hair">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00000"/>
      </left>
      <right/>
      <top/>
      <bottom style="medium">
        <color indexed="64"/>
      </bottom>
      <diagonal/>
    </border>
    <border>
      <left/>
      <right style="medium">
        <color rgb="FF000000"/>
      </right>
      <top style="medium">
        <color rgb="FF000000"/>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double">
        <color indexed="64"/>
      </left>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s>
  <cellStyleXfs count="16">
    <xf numFmtId="0" fontId="0" fillId="0" borderId="0"/>
    <xf numFmtId="43" fontId="1"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9" fontId="1" fillId="0" borderId="0" applyFont="0" applyFill="0" applyBorder="0" applyAlignment="0" applyProtection="0"/>
    <xf numFmtId="0" fontId="34" fillId="0" borderId="0" applyNumberFormat="0" applyFill="0" applyBorder="0" applyAlignment="0" applyProtection="0">
      <alignment vertical="top"/>
      <protection locked="0"/>
    </xf>
    <xf numFmtId="0" fontId="91" fillId="44" borderId="0" applyNumberFormat="0" applyBorder="0" applyAlignment="0" applyProtection="0"/>
    <xf numFmtId="0" fontId="56" fillId="45" borderId="108" applyNumberFormat="0" applyAlignment="0" applyProtection="0"/>
    <xf numFmtId="0" fontId="1"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57"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57" fillId="52" borderId="0" applyNumberFormat="0" applyBorder="0" applyAlignment="0" applyProtection="0"/>
  </cellStyleXfs>
  <cellXfs count="2489">
    <xf numFmtId="0" fontId="0" fillId="0" borderId="0" xfId="0"/>
    <xf numFmtId="4" fontId="0" fillId="0" borderId="0" xfId="0" applyNumberFormat="1"/>
    <xf numFmtId="0" fontId="2" fillId="0" borderId="0" xfId="0" applyFont="1"/>
    <xf numFmtId="0" fontId="0" fillId="0" borderId="3" xfId="0" applyBorder="1"/>
    <xf numFmtId="43" fontId="0" fillId="0" borderId="0" xfId="0" applyNumberFormat="1"/>
    <xf numFmtId="0" fontId="16" fillId="3" borderId="0" xfId="0" applyFont="1" applyFill="1" applyBorder="1" applyAlignment="1"/>
    <xf numFmtId="49" fontId="15" fillId="3" borderId="0" xfId="0" applyNumberFormat="1" applyFont="1" applyFill="1" applyBorder="1" applyAlignment="1" applyProtection="1">
      <alignment vertical="center"/>
      <protection locked="0"/>
    </xf>
    <xf numFmtId="0" fontId="16" fillId="0" borderId="0" xfId="0" applyFont="1" applyBorder="1"/>
    <xf numFmtId="0" fontId="16" fillId="0" borderId="0" xfId="0" applyFont="1"/>
    <xf numFmtId="0" fontId="16" fillId="0" borderId="0" xfId="0" applyFont="1" applyAlignment="1">
      <alignment horizontal="center"/>
    </xf>
    <xf numFmtId="49" fontId="14" fillId="3" borderId="0" xfId="0" applyNumberFormat="1" applyFont="1" applyFill="1" applyBorder="1" applyAlignment="1" applyProtection="1">
      <alignment horizontal="left" vertical="center"/>
      <protection locked="0"/>
    </xf>
    <xf numFmtId="49" fontId="14" fillId="3" borderId="0" xfId="0" applyNumberFormat="1" applyFont="1" applyFill="1" applyBorder="1" applyAlignment="1" applyProtection="1">
      <alignment horizontal="left" vertical="top" wrapText="1"/>
      <protection locked="0"/>
    </xf>
    <xf numFmtId="49" fontId="15" fillId="3" borderId="0" xfId="0" applyNumberFormat="1" applyFont="1" applyFill="1" applyBorder="1" applyAlignment="1" applyProtection="1">
      <alignment horizontal="left" vertical="center" wrapText="1"/>
      <protection locked="0"/>
    </xf>
    <xf numFmtId="49" fontId="14" fillId="3" borderId="0" xfId="0" applyNumberFormat="1" applyFont="1" applyFill="1" applyBorder="1" applyAlignment="1" applyProtection="1">
      <alignment horizontal="left" vertical="center" wrapText="1"/>
      <protection locked="0"/>
    </xf>
    <xf numFmtId="49" fontId="15" fillId="3" borderId="0" xfId="0" applyNumberFormat="1" applyFont="1" applyFill="1" applyBorder="1" applyAlignment="1" applyProtection="1">
      <alignment horizontal="center" vertical="center" wrapText="1"/>
      <protection locked="0"/>
    </xf>
    <xf numFmtId="0" fontId="16" fillId="6" borderId="0" xfId="0" applyFont="1" applyFill="1"/>
    <xf numFmtId="0" fontId="16" fillId="6" borderId="0" xfId="0" applyFont="1" applyFill="1" applyAlignment="1">
      <alignment horizontal="center"/>
    </xf>
    <xf numFmtId="168" fontId="9" fillId="0" borderId="9" xfId="1" applyNumberFormat="1" applyFont="1" applyFill="1" applyBorder="1" applyAlignment="1">
      <alignment horizontal="center" vertical="center"/>
    </xf>
    <xf numFmtId="168" fontId="9" fillId="0" borderId="9"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wrapText="1"/>
    </xf>
    <xf numFmtId="168" fontId="19" fillId="13" borderId="9" xfId="0" applyNumberFormat="1" applyFont="1" applyFill="1" applyBorder="1" applyAlignment="1">
      <alignment horizontal="right" vertical="center" wrapText="1"/>
    </xf>
    <xf numFmtId="168" fontId="9" fillId="13" borderId="9" xfId="1" applyNumberFormat="1" applyFont="1" applyFill="1" applyBorder="1" applyAlignment="1">
      <alignment horizontal="center" vertical="center"/>
    </xf>
    <xf numFmtId="167" fontId="19" fillId="13" borderId="9" xfId="0" applyNumberFormat="1" applyFont="1" applyFill="1" applyBorder="1" applyAlignment="1">
      <alignment horizontal="center" vertical="center" wrapText="1"/>
    </xf>
    <xf numFmtId="0" fontId="16" fillId="0" borderId="9" xfId="0" applyFont="1" applyBorder="1"/>
    <xf numFmtId="43" fontId="16" fillId="0" borderId="0" xfId="1" applyFont="1" applyAlignment="1">
      <alignment horizontal="center"/>
    </xf>
    <xf numFmtId="0" fontId="16" fillId="3" borderId="0" xfId="0" applyFont="1" applyFill="1" applyAlignment="1"/>
    <xf numFmtId="0" fontId="16" fillId="0" borderId="0" xfId="0" applyFont="1" applyAlignment="1">
      <alignment vertical="top"/>
    </xf>
    <xf numFmtId="0" fontId="16" fillId="0" borderId="3" xfId="0" applyFont="1" applyBorder="1"/>
    <xf numFmtId="167" fontId="21" fillId="0" borderId="3" xfId="0" applyNumberFormat="1" applyFont="1" applyFill="1" applyBorder="1" applyAlignment="1" applyProtection="1">
      <alignment horizontal="center" vertical="center" wrapText="1"/>
      <protection locked="0"/>
    </xf>
    <xf numFmtId="0" fontId="16" fillId="3" borderId="0" xfId="0" applyFont="1" applyFill="1" applyBorder="1" applyAlignment="1">
      <alignment vertical="top"/>
    </xf>
    <xf numFmtId="0" fontId="16" fillId="3" borderId="0" xfId="0" applyFont="1" applyFill="1" applyBorder="1"/>
    <xf numFmtId="0" fontId="18" fillId="5" borderId="21" xfId="0" applyNumberFormat="1" applyFont="1" applyFill="1" applyBorder="1" applyAlignment="1">
      <alignment horizontal="center" vertical="center" wrapText="1"/>
    </xf>
    <xf numFmtId="49" fontId="18" fillId="5" borderId="28" xfId="0" applyNumberFormat="1" applyFont="1" applyFill="1" applyBorder="1" applyAlignment="1" applyProtection="1">
      <alignment vertical="center" wrapText="1"/>
      <protection locked="0"/>
    </xf>
    <xf numFmtId="49" fontId="19" fillId="5" borderId="3" xfId="0" applyNumberFormat="1" applyFont="1" applyFill="1" applyBorder="1" applyAlignment="1">
      <alignment horizontal="center" vertical="center" wrapText="1"/>
    </xf>
    <xf numFmtId="43" fontId="19" fillId="5" borderId="3" xfId="1"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3" xfId="0" applyFont="1" applyFill="1" applyBorder="1" applyAlignment="1">
      <alignment horizontal="center" wrapText="1"/>
    </xf>
    <xf numFmtId="4" fontId="19" fillId="5" borderId="3" xfId="0" applyNumberFormat="1" applyFont="1" applyFill="1" applyBorder="1" applyAlignment="1">
      <alignment horizontal="center" vertical="center" wrapText="1"/>
    </xf>
    <xf numFmtId="4" fontId="19" fillId="5" borderId="3" xfId="0" applyNumberFormat="1" applyFont="1" applyFill="1" applyBorder="1" applyAlignment="1">
      <alignment horizontal="center" vertical="center"/>
    </xf>
    <xf numFmtId="4" fontId="19" fillId="5" borderId="3" xfId="2" applyNumberFormat="1" applyFont="1" applyFill="1" applyBorder="1" applyAlignment="1">
      <alignment horizontal="center" vertical="center" wrapText="1"/>
    </xf>
    <xf numFmtId="49" fontId="15" fillId="5" borderId="3" xfId="0" applyNumberFormat="1" applyFont="1" applyFill="1" applyBorder="1" applyAlignment="1" applyProtection="1">
      <alignment horizontal="center" vertical="center" wrapText="1"/>
      <protection locked="0"/>
    </xf>
    <xf numFmtId="49" fontId="19" fillId="5" borderId="3" xfId="0" applyNumberFormat="1" applyFont="1" applyFill="1" applyBorder="1" applyAlignment="1">
      <alignment vertical="top" wrapText="1"/>
    </xf>
    <xf numFmtId="49" fontId="15" fillId="5" borderId="3" xfId="0" applyNumberFormat="1" applyFont="1" applyFill="1" applyBorder="1" applyAlignment="1" applyProtection="1">
      <alignment horizontal="center" vertical="center"/>
      <protection locked="0"/>
    </xf>
    <xf numFmtId="167" fontId="19" fillId="5" borderId="3" xfId="0" applyNumberFormat="1" applyFont="1" applyFill="1" applyBorder="1" applyAlignment="1">
      <alignment horizontal="center" vertical="center" wrapText="1"/>
    </xf>
    <xf numFmtId="49" fontId="19" fillId="12" borderId="3" xfId="0" applyNumberFormat="1" applyFont="1" applyFill="1" applyBorder="1" applyAlignment="1">
      <alignment vertical="top" wrapText="1"/>
    </xf>
    <xf numFmtId="15" fontId="8" fillId="0" borderId="3" xfId="0" applyNumberFormat="1" applyFont="1" applyFill="1" applyBorder="1" applyAlignment="1">
      <alignment horizontal="center"/>
    </xf>
    <xf numFmtId="168" fontId="9" fillId="0" borderId="3" xfId="1" applyNumberFormat="1" applyFont="1" applyFill="1" applyBorder="1" applyAlignment="1">
      <alignment horizontal="center" vertical="center"/>
    </xf>
    <xf numFmtId="168" fontId="9" fillId="0" borderId="3" xfId="0" applyNumberFormat="1" applyFont="1" applyFill="1" applyBorder="1" applyAlignment="1">
      <alignment horizontal="center" vertical="center"/>
    </xf>
    <xf numFmtId="0" fontId="16" fillId="0" borderId="3" xfId="0" applyFont="1" applyBorder="1" applyAlignment="1">
      <alignment horizontal="center"/>
    </xf>
    <xf numFmtId="15" fontId="16" fillId="0" borderId="3" xfId="0" applyNumberFormat="1" applyFont="1" applyBorder="1" applyAlignment="1">
      <alignment horizontal="center"/>
    </xf>
    <xf numFmtId="15" fontId="16" fillId="0" borderId="3" xfId="0" applyNumberFormat="1" applyFont="1" applyBorder="1"/>
    <xf numFmtId="0" fontId="16" fillId="11" borderId="3" xfId="0" applyFont="1" applyFill="1" applyBorder="1" applyAlignment="1">
      <alignment horizontal="center"/>
    </xf>
    <xf numFmtId="0" fontId="16" fillId="11" borderId="3" xfId="0" applyFont="1" applyFill="1" applyBorder="1"/>
    <xf numFmtId="43" fontId="16" fillId="11" borderId="3" xfId="1" applyFont="1" applyFill="1" applyBorder="1" applyAlignment="1">
      <alignment horizontal="center"/>
    </xf>
    <xf numFmtId="0" fontId="16" fillId="11" borderId="27" xfId="0" applyFont="1" applyFill="1" applyBorder="1"/>
    <xf numFmtId="0" fontId="16" fillId="0" borderId="3" xfId="0" applyFont="1" applyBorder="1" applyAlignment="1">
      <alignment vertical="top"/>
    </xf>
    <xf numFmtId="43" fontId="16" fillId="0" borderId="3" xfId="0" applyNumberFormat="1" applyFont="1" applyBorder="1"/>
    <xf numFmtId="0" fontId="7" fillId="0" borderId="0" xfId="0" applyFont="1"/>
    <xf numFmtId="43" fontId="16" fillId="0" borderId="0" xfId="1" applyFont="1"/>
    <xf numFmtId="0" fontId="20" fillId="14" borderId="3" xfId="0" applyFont="1" applyFill="1" applyBorder="1" applyAlignment="1">
      <alignment horizontal="center"/>
    </xf>
    <xf numFmtId="0" fontId="20" fillId="14" borderId="3" xfId="0" applyFont="1" applyFill="1" applyBorder="1"/>
    <xf numFmtId="43" fontId="20" fillId="14" borderId="3" xfId="1" applyFont="1" applyFill="1" applyBorder="1" applyAlignment="1">
      <alignment horizontal="center"/>
    </xf>
    <xf numFmtId="43" fontId="20" fillId="14" borderId="3" xfId="0" applyNumberFormat="1" applyFont="1" applyFill="1" applyBorder="1"/>
    <xf numFmtId="43" fontId="10" fillId="14" borderId="3" xfId="0" applyNumberFormat="1" applyFont="1" applyFill="1" applyBorder="1" applyAlignment="1">
      <alignment horizontal="center" vertical="center"/>
    </xf>
    <xf numFmtId="0" fontId="20" fillId="14" borderId="27" xfId="0" applyFont="1" applyFill="1" applyBorder="1"/>
    <xf numFmtId="0" fontId="20" fillId="14" borderId="3" xfId="0" applyFont="1" applyFill="1" applyBorder="1" applyAlignment="1">
      <alignment vertical="top"/>
    </xf>
    <xf numFmtId="0" fontId="0" fillId="0" borderId="0" xfId="0"/>
    <xf numFmtId="0" fontId="16" fillId="0" borderId="33" xfId="0" applyFont="1" applyBorder="1"/>
    <xf numFmtId="0" fontId="15" fillId="18" borderId="0" xfId="0" applyFont="1" applyFill="1" applyAlignment="1">
      <alignment horizontal="center"/>
    </xf>
    <xf numFmtId="0" fontId="15" fillId="18" borderId="0" xfId="0" applyFont="1" applyFill="1"/>
    <xf numFmtId="43" fontId="15" fillId="18" borderId="0" xfId="1" applyFont="1" applyFill="1" applyAlignment="1">
      <alignment horizontal="center"/>
    </xf>
    <xf numFmtId="0" fontId="15" fillId="18" borderId="0" xfId="0" applyFont="1" applyFill="1" applyAlignment="1"/>
    <xf numFmtId="0" fontId="15" fillId="18" borderId="0" xfId="0" applyFont="1" applyFill="1" applyAlignment="1">
      <alignment vertical="top"/>
    </xf>
    <xf numFmtId="0" fontId="24" fillId="18" borderId="0" xfId="0" applyFont="1" applyFill="1"/>
    <xf numFmtId="0" fontId="23" fillId="18" borderId="3" xfId="0" applyFont="1" applyFill="1" applyBorder="1" applyAlignment="1">
      <alignment horizontal="center"/>
    </xf>
    <xf numFmtId="0" fontId="23" fillId="18" borderId="3" xfId="0" applyFont="1" applyFill="1" applyBorder="1"/>
    <xf numFmtId="43" fontId="23" fillId="18" borderId="3" xfId="1" applyFont="1" applyFill="1" applyBorder="1" applyAlignment="1">
      <alignment horizontal="center"/>
    </xf>
    <xf numFmtId="43" fontId="23" fillId="18" borderId="3" xfId="0" applyNumberFormat="1" applyFont="1" applyFill="1" applyBorder="1" applyAlignment="1"/>
    <xf numFmtId="0" fontId="23" fillId="18" borderId="3" xfId="0" applyFont="1" applyFill="1" applyBorder="1" applyAlignment="1">
      <alignment vertical="top"/>
    </xf>
    <xf numFmtId="49" fontId="19" fillId="5" borderId="27" xfId="0" applyNumberFormat="1" applyFont="1" applyFill="1" applyBorder="1" applyAlignment="1" applyProtection="1">
      <alignment horizontal="center" vertical="center" wrapText="1"/>
      <protection locked="0"/>
    </xf>
    <xf numFmtId="0" fontId="16" fillId="0" borderId="27" xfId="0" applyFont="1" applyBorder="1"/>
    <xf numFmtId="0" fontId="23" fillId="18" borderId="28" xfId="0" applyFont="1" applyFill="1" applyBorder="1"/>
    <xf numFmtId="0" fontId="20" fillId="0" borderId="0" xfId="0" applyFont="1" applyAlignment="1">
      <alignment horizontal="center"/>
    </xf>
    <xf numFmtId="0" fontId="20" fillId="0" borderId="0" xfId="0" applyFont="1"/>
    <xf numFmtId="0" fontId="14" fillId="5" borderId="0" xfId="0" applyFont="1" applyFill="1" applyAlignment="1">
      <alignment horizontal="center"/>
    </xf>
    <xf numFmtId="0" fontId="14" fillId="5" borderId="0" xfId="0" applyFont="1" applyFill="1"/>
    <xf numFmtId="43" fontId="14" fillId="5" borderId="0" xfId="1" applyFont="1" applyFill="1" applyAlignment="1">
      <alignment horizontal="center"/>
    </xf>
    <xf numFmtId="43" fontId="14" fillId="5" borderId="3" xfId="0" applyNumberFormat="1" applyFont="1" applyFill="1" applyBorder="1"/>
    <xf numFmtId="43" fontId="14" fillId="5" borderId="3" xfId="0" applyNumberFormat="1" applyFont="1" applyFill="1" applyBorder="1" applyAlignment="1">
      <alignment horizontal="center"/>
    </xf>
    <xf numFmtId="0" fontId="15" fillId="0" borderId="0" xfId="0" applyFont="1"/>
    <xf numFmtId="168" fontId="9" fillId="0" borderId="62" xfId="0" applyNumberFormat="1" applyFont="1" applyFill="1" applyBorder="1" applyAlignment="1">
      <alignment horizontal="center" vertical="center"/>
    </xf>
    <xf numFmtId="167" fontId="19" fillId="0" borderId="62" xfId="0" applyNumberFormat="1" applyFont="1" applyFill="1" applyBorder="1" applyAlignment="1">
      <alignment horizontal="center" vertical="center" wrapText="1"/>
    </xf>
    <xf numFmtId="0" fontId="16" fillId="0" borderId="62" xfId="0" applyFont="1" applyBorder="1" applyAlignment="1">
      <alignment horizontal="center"/>
    </xf>
    <xf numFmtId="167" fontId="19" fillId="0" borderId="3" xfId="0" applyNumberFormat="1" applyFont="1" applyFill="1" applyBorder="1" applyAlignment="1">
      <alignment horizontal="center" vertical="center" wrapText="1"/>
    </xf>
    <xf numFmtId="167" fontId="16" fillId="0" borderId="3" xfId="0" applyNumberFormat="1" applyFont="1" applyBorder="1" applyAlignment="1">
      <alignment horizontal="center"/>
    </xf>
    <xf numFmtId="165" fontId="0" fillId="0" borderId="0" xfId="0" applyNumberFormat="1"/>
    <xf numFmtId="0" fontId="15" fillId="0" borderId="9" xfId="0" applyFont="1" applyBorder="1"/>
    <xf numFmtId="15" fontId="15" fillId="3" borderId="3" xfId="0" applyNumberFormat="1" applyFont="1" applyFill="1" applyBorder="1"/>
    <xf numFmtId="43" fontId="16" fillId="0" borderId="3" xfId="1" applyFont="1" applyBorder="1"/>
    <xf numFmtId="0" fontId="32" fillId="0" borderId="0" xfId="0" applyFont="1"/>
    <xf numFmtId="43" fontId="27" fillId="3" borderId="9" xfId="1" applyFont="1" applyFill="1" applyBorder="1" applyAlignment="1">
      <alignment horizontal="justify" vertical="top" wrapText="1"/>
    </xf>
    <xf numFmtId="0" fontId="33" fillId="0" borderId="0" xfId="0" applyFont="1"/>
    <xf numFmtId="43" fontId="16" fillId="0" borderId="0" xfId="0" applyNumberFormat="1" applyFont="1"/>
    <xf numFmtId="4" fontId="5" fillId="0" borderId="53" xfId="0" applyNumberFormat="1" applyFont="1" applyBorder="1" applyAlignment="1">
      <alignment horizontal="center"/>
    </xf>
    <xf numFmtId="0" fontId="30" fillId="21" borderId="1" xfId="0" applyFont="1" applyFill="1" applyBorder="1" applyAlignment="1">
      <alignment horizontal="left" vertical="top" wrapText="1"/>
    </xf>
    <xf numFmtId="0" fontId="30" fillId="21" borderId="2" xfId="0" applyFont="1" applyFill="1" applyBorder="1" applyAlignment="1">
      <alignment horizontal="left" vertical="top" wrapText="1"/>
    </xf>
    <xf numFmtId="0" fontId="30" fillId="0" borderId="57" xfId="0" applyFont="1" applyBorder="1" applyAlignment="1">
      <alignment horizontal="left" vertical="top" wrapText="1"/>
    </xf>
    <xf numFmtId="0" fontId="30" fillId="0" borderId="53" xfId="0" applyFont="1" applyBorder="1" applyAlignment="1">
      <alignment horizontal="left" vertical="top" wrapText="1"/>
    </xf>
    <xf numFmtId="0" fontId="30" fillId="0" borderId="42" xfId="0" applyFont="1" applyBorder="1" applyAlignment="1">
      <alignment horizontal="left" vertical="top" wrapText="1"/>
    </xf>
    <xf numFmtId="43" fontId="30" fillId="0" borderId="42" xfId="0" applyNumberFormat="1" applyFont="1" applyBorder="1" applyAlignment="1">
      <alignment horizontal="left" vertical="top" wrapText="1"/>
    </xf>
    <xf numFmtId="0" fontId="30" fillId="0" borderId="3" xfId="0" applyFont="1" applyBorder="1" applyAlignment="1">
      <alignment horizontal="left" vertical="top" wrapText="1"/>
    </xf>
    <xf numFmtId="43" fontId="30" fillId="0" borderId="3" xfId="0" applyNumberFormat="1" applyFont="1" applyBorder="1" applyAlignment="1">
      <alignment horizontal="left" vertical="top" wrapText="1"/>
    </xf>
    <xf numFmtId="0" fontId="4" fillId="21" borderId="3" xfId="0" applyFont="1" applyFill="1" applyBorder="1" applyAlignment="1">
      <alignment horizontal="left" vertical="top" wrapText="1"/>
    </xf>
    <xf numFmtId="43" fontId="4" fillId="21" borderId="3" xfId="0" applyNumberFormat="1" applyFont="1" applyFill="1" applyBorder="1" applyAlignment="1">
      <alignment horizontal="left" vertical="top" wrapText="1"/>
    </xf>
    <xf numFmtId="0" fontId="30" fillId="21" borderId="2" xfId="0" applyFont="1" applyFill="1" applyBorder="1" applyAlignment="1">
      <alignment horizontal="center" vertical="center" wrapText="1"/>
    </xf>
    <xf numFmtId="9" fontId="30" fillId="0" borderId="42" xfId="5" applyFont="1" applyBorder="1" applyAlignment="1">
      <alignment horizontal="center" vertical="top" wrapText="1"/>
    </xf>
    <xf numFmtId="9" fontId="4" fillId="21" borderId="3" xfId="5" applyFont="1" applyFill="1" applyBorder="1" applyAlignment="1">
      <alignment horizontal="left" vertical="top" wrapText="1"/>
    </xf>
    <xf numFmtId="0" fontId="34" fillId="0" borderId="0" xfId="6" applyAlignment="1" applyProtection="1">
      <alignment horizontal="center"/>
    </xf>
    <xf numFmtId="43" fontId="30" fillId="0" borderId="53" xfId="0" applyNumberFormat="1" applyFont="1" applyBorder="1" applyAlignment="1">
      <alignment horizontal="right" vertical="top" wrapText="1"/>
    </xf>
    <xf numFmtId="0" fontId="30" fillId="0" borderId="53" xfId="0" applyFont="1" applyBorder="1" applyAlignment="1">
      <alignment horizontal="right" vertical="top" wrapText="1"/>
    </xf>
    <xf numFmtId="43" fontId="30" fillId="0" borderId="57" xfId="0" applyNumberFormat="1" applyFont="1" applyBorder="1" applyAlignment="1">
      <alignment horizontal="right" vertical="top" wrapText="1"/>
    </xf>
    <xf numFmtId="4" fontId="30" fillId="0" borderId="53" xfId="0" applyNumberFormat="1" applyFont="1" applyBorder="1" applyAlignment="1">
      <alignment horizontal="right" vertical="top" wrapText="1"/>
    </xf>
    <xf numFmtId="4" fontId="4" fillId="21" borderId="3" xfId="0" applyNumberFormat="1" applyFont="1" applyFill="1" applyBorder="1" applyAlignment="1">
      <alignment horizontal="right" vertical="top" wrapText="1"/>
    </xf>
    <xf numFmtId="9" fontId="30" fillId="0" borderId="53" xfId="5" applyFont="1" applyBorder="1" applyAlignment="1">
      <alignment horizontal="center" vertical="top" wrapText="1"/>
    </xf>
    <xf numFmtId="9" fontId="4" fillId="21" borderId="3" xfId="5" applyFont="1" applyFill="1" applyBorder="1" applyAlignment="1">
      <alignment horizontal="center" vertical="top" wrapText="1"/>
    </xf>
    <xf numFmtId="0" fontId="20" fillId="11" borderId="3" xfId="0" applyFont="1" applyFill="1" applyBorder="1"/>
    <xf numFmtId="0" fontId="22" fillId="23" borderId="3" xfId="0" applyFont="1" applyFill="1" applyBorder="1" applyAlignment="1">
      <alignment horizontal="left" vertical="top"/>
    </xf>
    <xf numFmtId="0" fontId="12" fillId="23" borderId="53" xfId="0" applyFont="1" applyFill="1" applyBorder="1" applyAlignment="1">
      <alignment horizontal="left" vertical="top"/>
    </xf>
    <xf numFmtId="0" fontId="22" fillId="23" borderId="53" xfId="0" applyFont="1" applyFill="1" applyBorder="1" applyAlignment="1">
      <alignment horizontal="left" vertical="top"/>
    </xf>
    <xf numFmtId="43" fontId="22" fillId="23" borderId="53" xfId="0" applyNumberFormat="1" applyFont="1" applyFill="1" applyBorder="1" applyAlignment="1">
      <alignment horizontal="left" vertical="top"/>
    </xf>
    <xf numFmtId="0" fontId="22" fillId="17" borderId="3" xfId="0" applyFont="1" applyFill="1" applyBorder="1" applyAlignment="1">
      <alignment horizontal="left" vertical="top"/>
    </xf>
    <xf numFmtId="0" fontId="14" fillId="5" borderId="3" xfId="0" applyFont="1" applyFill="1" applyBorder="1" applyAlignment="1">
      <alignment horizontal="center"/>
    </xf>
    <xf numFmtId="0" fontId="14" fillId="5" borderId="3" xfId="0" applyFont="1" applyFill="1" applyBorder="1"/>
    <xf numFmtId="43" fontId="14" fillId="5" borderId="3" xfId="1" applyFont="1" applyFill="1" applyBorder="1" applyAlignment="1">
      <alignment horizontal="center"/>
    </xf>
    <xf numFmtId="0" fontId="13" fillId="24" borderId="48" xfId="0" applyFont="1" applyFill="1" applyBorder="1" applyAlignment="1">
      <alignment horizontal="left" vertical="top" wrapText="1"/>
    </xf>
    <xf numFmtId="0" fontId="13" fillId="24" borderId="53" xfId="0" applyFont="1" applyFill="1" applyBorder="1" applyAlignment="1">
      <alignment horizontal="left"/>
    </xf>
    <xf numFmtId="0" fontId="6" fillId="24" borderId="53" xfId="0" applyFont="1" applyFill="1" applyBorder="1" applyAlignment="1">
      <alignment horizontal="left"/>
    </xf>
    <xf numFmtId="0" fontId="6" fillId="0" borderId="48" xfId="0" applyFont="1" applyBorder="1" applyAlignment="1">
      <alignment horizontal="left" vertical="top" wrapText="1"/>
    </xf>
    <xf numFmtId="0" fontId="6" fillId="0" borderId="53" xfId="0" applyFont="1" applyBorder="1" applyAlignment="1">
      <alignment horizontal="left" vertical="top" wrapText="1"/>
    </xf>
    <xf numFmtId="0" fontId="6" fillId="0" borderId="53" xfId="0" applyFont="1" applyBorder="1" applyAlignment="1">
      <alignment horizontal="left"/>
    </xf>
    <xf numFmtId="0" fontId="6" fillId="0" borderId="48" xfId="0" applyFont="1" applyBorder="1" applyAlignment="1">
      <alignment horizontal="justify"/>
    </xf>
    <xf numFmtId="0" fontId="13" fillId="8" borderId="3" xfId="0" applyFont="1" applyFill="1" applyBorder="1" applyAlignment="1">
      <alignment horizontal="left"/>
    </xf>
    <xf numFmtId="0" fontId="13" fillId="8" borderId="53" xfId="0" applyFont="1" applyFill="1" applyBorder="1" applyAlignment="1">
      <alignment horizontal="left"/>
    </xf>
    <xf numFmtId="0" fontId="13" fillId="13" borderId="48" xfId="0" applyFont="1" applyFill="1" applyBorder="1" applyAlignment="1">
      <alignment horizontal="left" vertical="top" wrapText="1"/>
    </xf>
    <xf numFmtId="0" fontId="13" fillId="13" borderId="53" xfId="0" applyFont="1" applyFill="1" applyBorder="1" applyAlignment="1">
      <alignment horizontal="left"/>
    </xf>
    <xf numFmtId="0" fontId="13" fillId="26" borderId="48" xfId="0" applyFont="1" applyFill="1" applyBorder="1" applyAlignment="1">
      <alignment horizontal="left" vertical="top" wrapText="1"/>
    </xf>
    <xf numFmtId="0" fontId="6" fillId="21" borderId="53" xfId="0" applyFont="1" applyFill="1" applyBorder="1" applyAlignment="1">
      <alignment horizontal="left" vertical="top" wrapText="1"/>
    </xf>
    <xf numFmtId="0" fontId="6" fillId="0" borderId="53" xfId="0" applyFont="1" applyBorder="1" applyAlignment="1">
      <alignment horizontal="justify"/>
    </xf>
    <xf numFmtId="0" fontId="6" fillId="0" borderId="48" xfId="0" applyFont="1" applyBorder="1" applyAlignment="1">
      <alignment horizontal="justify" vertical="center"/>
    </xf>
    <xf numFmtId="43" fontId="13" fillId="8" borderId="53" xfId="1" applyFont="1" applyFill="1" applyBorder="1" applyAlignment="1">
      <alignment horizontal="left"/>
    </xf>
    <xf numFmtId="0" fontId="22" fillId="8" borderId="3" xfId="0" applyFont="1" applyFill="1" applyBorder="1" applyAlignment="1">
      <alignment horizontal="left" vertical="top"/>
    </xf>
    <xf numFmtId="0" fontId="6" fillId="21" borderId="53" xfId="0" applyFont="1" applyFill="1" applyBorder="1" applyAlignment="1">
      <alignment horizontal="left"/>
    </xf>
    <xf numFmtId="0" fontId="6" fillId="0" borderId="48" xfId="0" applyFont="1" applyBorder="1" applyAlignment="1">
      <alignment horizontal="left"/>
    </xf>
    <xf numFmtId="0" fontId="6" fillId="0" borderId="53" xfId="0" applyFont="1" applyBorder="1" applyAlignment="1">
      <alignment horizontal="left" wrapText="1"/>
    </xf>
    <xf numFmtId="0" fontId="13" fillId="24" borderId="48" xfId="0" applyFont="1" applyFill="1" applyBorder="1" applyAlignment="1">
      <alignment horizontal="left"/>
    </xf>
    <xf numFmtId="0" fontId="13" fillId="24" borderId="53" xfId="0" applyFont="1" applyFill="1" applyBorder="1" applyAlignment="1">
      <alignment horizontal="left" wrapText="1"/>
    </xf>
    <xf numFmtId="4" fontId="11" fillId="24" borderId="53" xfId="0" applyNumberFormat="1" applyFont="1" applyFill="1" applyBorder="1" applyAlignment="1">
      <alignment horizontal="center"/>
    </xf>
    <xf numFmtId="0" fontId="6" fillId="24" borderId="48" xfId="0" applyFont="1" applyFill="1" applyBorder="1" applyAlignment="1">
      <alignment horizontal="left"/>
    </xf>
    <xf numFmtId="0" fontId="6" fillId="24" borderId="53" xfId="0" applyFont="1" applyFill="1" applyBorder="1" applyAlignment="1">
      <alignment horizontal="left" wrapText="1"/>
    </xf>
    <xf numFmtId="0" fontId="6" fillId="0" borderId="53" xfId="0" applyFont="1" applyBorder="1" applyAlignment="1">
      <alignment horizontal="center" wrapText="1"/>
    </xf>
    <xf numFmtId="0" fontId="6" fillId="0" borderId="53" xfId="0" applyFont="1" applyBorder="1" applyAlignment="1">
      <alignment horizontal="center"/>
    </xf>
    <xf numFmtId="4" fontId="6" fillId="0" borderId="53" xfId="0" applyNumberFormat="1" applyFont="1" applyBorder="1" applyAlignment="1">
      <alignment horizontal="left" wrapText="1"/>
    </xf>
    <xf numFmtId="4" fontId="6" fillId="0" borderId="53" xfId="0" applyNumberFormat="1" applyFont="1" applyBorder="1" applyAlignment="1">
      <alignment horizontal="left"/>
    </xf>
    <xf numFmtId="0" fontId="6" fillId="21" borderId="48" xfId="0" applyFont="1" applyFill="1" applyBorder="1" applyAlignment="1">
      <alignment horizontal="left"/>
    </xf>
    <xf numFmtId="0" fontId="6" fillId="21" borderId="53" xfId="0" applyFont="1" applyFill="1" applyBorder="1" applyAlignment="1">
      <alignment horizontal="left" wrapText="1"/>
    </xf>
    <xf numFmtId="4" fontId="11" fillId="21" borderId="53" xfId="0" applyNumberFormat="1" applyFont="1" applyFill="1" applyBorder="1" applyAlignment="1">
      <alignment horizontal="center"/>
    </xf>
    <xf numFmtId="43" fontId="0" fillId="0" borderId="0" xfId="1" applyFont="1"/>
    <xf numFmtId="0" fontId="5" fillId="7" borderId="3" xfId="0" applyFont="1" applyFill="1" applyBorder="1" applyAlignment="1">
      <alignment horizontal="left"/>
    </xf>
    <xf numFmtId="0" fontId="30" fillId="0" borderId="0" xfId="0" applyFont="1" applyFill="1" applyBorder="1" applyAlignment="1">
      <alignment horizontal="left" vertical="top" wrapText="1"/>
    </xf>
    <xf numFmtId="0" fontId="40" fillId="5" borderId="0" xfId="0" applyFont="1" applyFill="1" applyBorder="1" applyAlignment="1">
      <alignment horizontal="center" vertical="top" wrapText="1"/>
    </xf>
    <xf numFmtId="4" fontId="33" fillId="0" borderId="0" xfId="0" applyNumberFormat="1" applyFont="1"/>
    <xf numFmtId="43" fontId="33" fillId="0" borderId="3" xfId="0" applyNumberFormat="1" applyFont="1" applyBorder="1"/>
    <xf numFmtId="0" fontId="40" fillId="5" borderId="2" xfId="0" applyFont="1" applyFill="1" applyBorder="1" applyAlignment="1">
      <alignment vertical="top" wrapText="1"/>
    </xf>
    <xf numFmtId="0" fontId="35" fillId="21" borderId="3" xfId="0" applyFont="1" applyFill="1" applyBorder="1" applyAlignment="1">
      <alignment horizontal="left" vertical="top" wrapText="1"/>
    </xf>
    <xf numFmtId="0" fontId="35" fillId="21" borderId="18" xfId="0" applyFont="1" applyFill="1" applyBorder="1" applyAlignment="1">
      <alignment horizontal="left" vertical="top" wrapText="1"/>
    </xf>
    <xf numFmtId="0" fontId="35" fillId="21" borderId="17" xfId="0" applyFont="1" applyFill="1" applyBorder="1" applyAlignment="1">
      <alignment horizontal="left" vertical="top" wrapText="1"/>
    </xf>
    <xf numFmtId="0" fontId="35" fillId="21" borderId="32" xfId="0" applyFont="1" applyFill="1" applyBorder="1" applyAlignment="1">
      <alignment horizontal="left" vertical="top" wrapText="1"/>
    </xf>
    <xf numFmtId="0" fontId="35" fillId="21" borderId="4" xfId="0" applyFont="1" applyFill="1" applyBorder="1" applyAlignment="1">
      <alignment horizontal="left" vertical="top" wrapText="1"/>
    </xf>
    <xf numFmtId="0" fontId="12" fillId="21" borderId="3" xfId="0" applyFont="1" applyFill="1" applyBorder="1" applyAlignment="1">
      <alignment vertical="top" wrapText="1"/>
    </xf>
    <xf numFmtId="0" fontId="35" fillId="24" borderId="48" xfId="0" applyFont="1" applyFill="1" applyBorder="1" applyAlignment="1">
      <alignment horizontal="left" vertical="top" wrapText="1"/>
    </xf>
    <xf numFmtId="0" fontId="35" fillId="24" borderId="17" xfId="0" applyFont="1" applyFill="1" applyBorder="1" applyAlignment="1">
      <alignment horizontal="left" vertical="top" wrapText="1"/>
    </xf>
    <xf numFmtId="0" fontId="35" fillId="24" borderId="3" xfId="0" applyFont="1" applyFill="1" applyBorder="1" applyAlignment="1">
      <alignment horizontal="left" vertical="top" wrapText="1"/>
    </xf>
    <xf numFmtId="0" fontId="35" fillId="0" borderId="48" xfId="0" applyFont="1" applyBorder="1" applyAlignment="1">
      <alignment horizontal="left" vertical="top" wrapText="1"/>
    </xf>
    <xf numFmtId="0" fontId="35" fillId="0" borderId="17" xfId="0" applyFont="1" applyBorder="1" applyAlignment="1">
      <alignment horizontal="left" vertical="top" wrapText="1"/>
    </xf>
    <xf numFmtId="0" fontId="35" fillId="0" borderId="54" xfId="0" applyFont="1" applyBorder="1" applyAlignment="1">
      <alignment horizontal="left" vertical="top" wrapText="1"/>
    </xf>
    <xf numFmtId="0" fontId="35" fillId="24" borderId="57" xfId="0" applyFont="1" applyFill="1" applyBorder="1" applyAlignment="1">
      <alignment horizontal="left" vertical="top" wrapText="1"/>
    </xf>
    <xf numFmtId="0" fontId="35" fillId="0" borderId="57" xfId="0" applyFont="1" applyBorder="1" applyAlignment="1">
      <alignment horizontal="left" vertical="top" wrapText="1"/>
    </xf>
    <xf numFmtId="0" fontId="35" fillId="0" borderId="56" xfId="0" applyFont="1" applyBorder="1" applyAlignment="1">
      <alignment horizontal="left" vertical="top" wrapText="1"/>
    </xf>
    <xf numFmtId="0" fontId="35" fillId="24" borderId="25" xfId="0" applyFont="1" applyFill="1" applyBorder="1" applyAlignment="1">
      <alignment horizontal="left" vertical="top" wrapText="1"/>
    </xf>
    <xf numFmtId="0" fontId="35" fillId="0" borderId="27" xfId="0" applyFont="1" applyBorder="1" applyAlignment="1">
      <alignment horizontal="left" vertical="top" wrapText="1"/>
    </xf>
    <xf numFmtId="0" fontId="33" fillId="0" borderId="3" xfId="0" applyFont="1" applyBorder="1"/>
    <xf numFmtId="0" fontId="33" fillId="0" borderId="28" xfId="0" applyFont="1" applyBorder="1"/>
    <xf numFmtId="0" fontId="35" fillId="0" borderId="58" xfId="0" applyFont="1" applyBorder="1" applyAlignment="1">
      <alignment horizontal="left" vertical="top" wrapText="1"/>
    </xf>
    <xf numFmtId="4" fontId="35" fillId="24" borderId="53" xfId="0" applyNumberFormat="1" applyFont="1" applyFill="1" applyBorder="1" applyAlignment="1">
      <alignment horizontal="right" vertical="top" wrapText="1"/>
    </xf>
    <xf numFmtId="43" fontId="35" fillId="24" borderId="53" xfId="0" applyNumberFormat="1" applyFont="1" applyFill="1" applyBorder="1" applyAlignment="1">
      <alignment horizontal="right" vertical="top" wrapText="1"/>
    </xf>
    <xf numFmtId="43" fontId="35" fillId="0" borderId="53" xfId="0" applyNumberFormat="1" applyFont="1" applyBorder="1" applyAlignment="1">
      <alignment horizontal="right" vertical="top" wrapText="1"/>
    </xf>
    <xf numFmtId="43" fontId="35" fillId="0" borderId="58" xfId="0" applyNumberFormat="1" applyFont="1" applyBorder="1" applyAlignment="1">
      <alignment horizontal="left" vertical="top" wrapText="1"/>
    </xf>
    <xf numFmtId="43" fontId="35" fillId="24" borderId="5" xfId="0" applyNumberFormat="1" applyFont="1" applyFill="1" applyBorder="1" applyAlignment="1">
      <alignment horizontal="left" vertical="top" wrapText="1"/>
    </xf>
    <xf numFmtId="43" fontId="35" fillId="24" borderId="53" xfId="1" applyFont="1" applyFill="1" applyBorder="1" applyAlignment="1">
      <alignment horizontal="right" vertical="top" wrapText="1"/>
    </xf>
    <xf numFmtId="43" fontId="35" fillId="0" borderId="53" xfId="1" applyFont="1" applyBorder="1" applyAlignment="1">
      <alignment horizontal="right" vertical="top" wrapText="1"/>
    </xf>
    <xf numFmtId="43" fontId="35" fillId="24" borderId="57" xfId="1" applyFont="1" applyFill="1" applyBorder="1" applyAlignment="1">
      <alignment horizontal="left" vertical="top" wrapText="1"/>
    </xf>
    <xf numFmtId="43" fontId="35" fillId="24" borderId="57" xfId="0" applyNumberFormat="1" applyFont="1" applyFill="1" applyBorder="1" applyAlignment="1">
      <alignment horizontal="left" vertical="top" wrapText="1"/>
    </xf>
    <xf numFmtId="43" fontId="35" fillId="0" borderId="57" xfId="0" applyNumberFormat="1" applyFont="1" applyBorder="1" applyAlignment="1">
      <alignment horizontal="left" vertical="top" wrapText="1"/>
    </xf>
    <xf numFmtId="0" fontId="12" fillId="0" borderId="17" xfId="0" applyFont="1" applyBorder="1" applyAlignment="1">
      <alignment horizontal="left" vertical="top" wrapText="1"/>
    </xf>
    <xf numFmtId="4" fontId="35" fillId="24" borderId="28" xfId="0" applyNumberFormat="1" applyFont="1" applyFill="1" applyBorder="1" applyAlignment="1">
      <alignment horizontal="right" vertical="top" wrapText="1"/>
    </xf>
    <xf numFmtId="4" fontId="35" fillId="24" borderId="3" xfId="0" applyNumberFormat="1" applyFont="1" applyFill="1" applyBorder="1" applyAlignment="1">
      <alignment horizontal="right" vertical="top" wrapText="1"/>
    </xf>
    <xf numFmtId="43" fontId="35" fillId="24" borderId="3" xfId="0" applyNumberFormat="1" applyFont="1" applyFill="1" applyBorder="1" applyAlignment="1">
      <alignment horizontal="left" vertical="top" wrapText="1"/>
    </xf>
    <xf numFmtId="43" fontId="35" fillId="0" borderId="3" xfId="0" applyNumberFormat="1" applyFont="1" applyBorder="1" applyAlignment="1">
      <alignment horizontal="left" vertical="top" wrapText="1"/>
    </xf>
    <xf numFmtId="0" fontId="35" fillId="24" borderId="53" xfId="0" applyFont="1" applyFill="1" applyBorder="1" applyAlignment="1">
      <alignment horizontal="left" vertical="top" wrapText="1"/>
    </xf>
    <xf numFmtId="0" fontId="35" fillId="0" borderId="53" xfId="0" applyFont="1" applyBorder="1" applyAlignment="1">
      <alignment horizontal="left" vertical="top" wrapText="1"/>
    </xf>
    <xf numFmtId="43" fontId="35" fillId="24" borderId="53" xfId="0" applyNumberFormat="1" applyFont="1" applyFill="1" applyBorder="1" applyAlignment="1">
      <alignment horizontal="left" vertical="top" wrapText="1"/>
    </xf>
    <xf numFmtId="43" fontId="35" fillId="0" borderId="53" xfId="0" applyNumberFormat="1" applyFont="1" applyBorder="1" applyAlignment="1">
      <alignment horizontal="left" vertical="top" wrapText="1"/>
    </xf>
    <xf numFmtId="4" fontId="35" fillId="24" borderId="53" xfId="0" applyNumberFormat="1" applyFont="1" applyFill="1" applyBorder="1" applyAlignment="1">
      <alignment horizontal="left" vertical="top" wrapText="1"/>
    </xf>
    <xf numFmtId="0" fontId="35" fillId="24" borderId="28" xfId="0" applyFont="1" applyFill="1" applyBorder="1" applyAlignment="1">
      <alignment horizontal="left" vertical="top" wrapText="1"/>
    </xf>
    <xf numFmtId="0" fontId="35" fillId="0" borderId="3" xfId="0" applyFont="1" applyBorder="1" applyAlignment="1">
      <alignment horizontal="left" vertical="top" wrapText="1"/>
    </xf>
    <xf numFmtId="0" fontId="35" fillId="7" borderId="48" xfId="0" applyFont="1" applyFill="1" applyBorder="1" applyAlignment="1">
      <alignment horizontal="left" vertical="top" wrapText="1"/>
    </xf>
    <xf numFmtId="0" fontId="35" fillId="7" borderId="17" xfId="0" applyFont="1" applyFill="1" applyBorder="1" applyAlignment="1">
      <alignment horizontal="left" vertical="top" wrapText="1"/>
    </xf>
    <xf numFmtId="0" fontId="35" fillId="7" borderId="27" xfId="0" applyFont="1" applyFill="1" applyBorder="1" applyAlignment="1">
      <alignment horizontal="left" vertical="top" wrapText="1"/>
    </xf>
    <xf numFmtId="0" fontId="35" fillId="7" borderId="3" xfId="0" applyFont="1" applyFill="1" applyBorder="1" applyAlignment="1">
      <alignment horizontal="left" vertical="top" wrapText="1"/>
    </xf>
    <xf numFmtId="0" fontId="35" fillId="7" borderId="58" xfId="0" applyFont="1" applyFill="1" applyBorder="1" applyAlignment="1">
      <alignment horizontal="left" vertical="top" wrapText="1"/>
    </xf>
    <xf numFmtId="0" fontId="35" fillId="7" borderId="53" xfId="0" applyFont="1" applyFill="1" applyBorder="1" applyAlignment="1">
      <alignment horizontal="left" vertical="top" wrapText="1"/>
    </xf>
    <xf numFmtId="0" fontId="12" fillId="24" borderId="48" xfId="0" applyFont="1" applyFill="1" applyBorder="1" applyAlignment="1">
      <alignment horizontal="left" vertical="top" wrapText="1"/>
    </xf>
    <xf numFmtId="0" fontId="12" fillId="24" borderId="17" xfId="0" applyFont="1" applyFill="1" applyBorder="1" applyAlignment="1">
      <alignment horizontal="left" vertical="top" wrapText="1"/>
    </xf>
    <xf numFmtId="4" fontId="12" fillId="24" borderId="3" xfId="0" applyNumberFormat="1" applyFont="1" applyFill="1" applyBorder="1" applyAlignment="1">
      <alignment horizontal="right" vertical="top" wrapText="1"/>
    </xf>
    <xf numFmtId="4" fontId="12" fillId="24" borderId="53" xfId="0" applyNumberFormat="1" applyFont="1" applyFill="1" applyBorder="1" applyAlignment="1">
      <alignment horizontal="right" vertical="top" wrapText="1"/>
    </xf>
    <xf numFmtId="0" fontId="41" fillId="0" borderId="0" xfId="6" applyFont="1" applyAlignment="1" applyProtection="1">
      <alignment horizontal="center"/>
    </xf>
    <xf numFmtId="0" fontId="35" fillId="7" borderId="59" xfId="0" applyFont="1" applyFill="1" applyBorder="1" applyAlignment="1">
      <alignment horizontal="left" vertical="top" wrapText="1"/>
    </xf>
    <xf numFmtId="0" fontId="35" fillId="7" borderId="57" xfId="0" applyFont="1" applyFill="1" applyBorder="1" applyAlignment="1">
      <alignment horizontal="left" vertical="top" wrapText="1"/>
    </xf>
    <xf numFmtId="0" fontId="35" fillId="7" borderId="54" xfId="0" applyFont="1" applyFill="1" applyBorder="1" applyAlignment="1">
      <alignment horizontal="left" vertical="top" wrapText="1"/>
    </xf>
    <xf numFmtId="43" fontId="35" fillId="24" borderId="28" xfId="0" applyNumberFormat="1" applyFont="1" applyFill="1" applyBorder="1" applyAlignment="1">
      <alignment horizontal="left" vertical="top" wrapText="1"/>
    </xf>
    <xf numFmtId="43" fontId="12" fillId="24" borderId="3" xfId="0" applyNumberFormat="1" applyFont="1" applyFill="1" applyBorder="1" applyAlignment="1">
      <alignment horizontal="left" vertical="top" wrapText="1"/>
    </xf>
    <xf numFmtId="43" fontId="12" fillId="24" borderId="47" xfId="0" applyNumberFormat="1" applyFont="1" applyFill="1" applyBorder="1" applyAlignment="1">
      <alignment horizontal="left" vertical="top" wrapText="1"/>
    </xf>
    <xf numFmtId="43" fontId="12" fillId="24" borderId="5" xfId="0" applyNumberFormat="1" applyFont="1" applyFill="1" applyBorder="1" applyAlignment="1">
      <alignment horizontal="left" vertical="top" wrapText="1"/>
    </xf>
    <xf numFmtId="43" fontId="12" fillId="24" borderId="17" xfId="0" applyNumberFormat="1" applyFont="1" applyFill="1" applyBorder="1" applyAlignment="1">
      <alignment horizontal="left" vertical="top" wrapText="1"/>
    </xf>
    <xf numFmtId="43" fontId="12" fillId="14" borderId="3" xfId="0" applyNumberFormat="1" applyFont="1" applyFill="1" applyBorder="1" applyAlignment="1">
      <alignment vertical="top" wrapText="1"/>
    </xf>
    <xf numFmtId="43" fontId="12" fillId="14" borderId="0" xfId="0" applyNumberFormat="1" applyFont="1" applyFill="1" applyBorder="1" applyAlignment="1">
      <alignment vertical="top" wrapText="1"/>
    </xf>
    <xf numFmtId="0" fontId="35" fillId="20" borderId="3" xfId="0" applyFont="1" applyFill="1" applyBorder="1" applyAlignment="1">
      <alignment vertical="top" wrapText="1"/>
    </xf>
    <xf numFmtId="0" fontId="35" fillId="20" borderId="32" xfId="0" applyFont="1" applyFill="1" applyBorder="1" applyAlignment="1">
      <alignment vertical="top" wrapText="1"/>
    </xf>
    <xf numFmtId="0" fontId="35" fillId="20" borderId="4" xfId="0" applyFont="1" applyFill="1" applyBorder="1" applyAlignment="1">
      <alignment vertical="top" wrapText="1"/>
    </xf>
    <xf numFmtId="0" fontId="35" fillId="20" borderId="0" xfId="0" applyFont="1" applyFill="1" applyBorder="1" applyAlignment="1">
      <alignment vertical="top" wrapText="1"/>
    </xf>
    <xf numFmtId="0" fontId="35" fillId="0" borderId="0" xfId="0" applyFont="1" applyBorder="1" applyAlignment="1">
      <alignment horizontal="left" vertical="top" wrapText="1"/>
    </xf>
    <xf numFmtId="43" fontId="35" fillId="0" borderId="28" xfId="0" applyNumberFormat="1" applyFont="1" applyBorder="1" applyAlignment="1">
      <alignment horizontal="left" vertical="top" wrapText="1"/>
    </xf>
    <xf numFmtId="43" fontId="12" fillId="24" borderId="3" xfId="0" applyNumberFormat="1" applyFont="1" applyFill="1" applyBorder="1" applyAlignment="1">
      <alignment vertical="top" wrapText="1"/>
    </xf>
    <xf numFmtId="43" fontId="12" fillId="24" borderId="28" xfId="0" applyNumberFormat="1" applyFont="1" applyFill="1" applyBorder="1" applyAlignment="1">
      <alignment vertical="top" wrapText="1"/>
    </xf>
    <xf numFmtId="0" fontId="35" fillId="24" borderId="3" xfId="0" applyFont="1" applyFill="1" applyBorder="1" applyAlignment="1">
      <alignment vertical="top" wrapText="1"/>
    </xf>
    <xf numFmtId="43" fontId="35" fillId="24" borderId="47" xfId="0" applyNumberFormat="1" applyFont="1" applyFill="1" applyBorder="1" applyAlignment="1">
      <alignment vertical="top" wrapText="1"/>
    </xf>
    <xf numFmtId="43" fontId="35" fillId="24" borderId="5" xfId="0" applyNumberFormat="1" applyFont="1" applyFill="1" applyBorder="1" applyAlignment="1">
      <alignment vertical="top" wrapText="1"/>
    </xf>
    <xf numFmtId="0" fontId="35" fillId="7" borderId="3" xfId="0" applyFont="1" applyFill="1" applyBorder="1" applyAlignment="1">
      <alignment vertical="top" wrapText="1"/>
    </xf>
    <xf numFmtId="43" fontId="12" fillId="24" borderId="18" xfId="0" applyNumberFormat="1" applyFont="1" applyFill="1" applyBorder="1" applyAlignment="1">
      <alignment horizontal="left" vertical="top" wrapText="1"/>
    </xf>
    <xf numFmtId="43" fontId="12" fillId="14" borderId="56" xfId="0" applyNumberFormat="1" applyFont="1" applyFill="1" applyBorder="1" applyAlignment="1">
      <alignment vertical="top" wrapText="1"/>
    </xf>
    <xf numFmtId="43" fontId="12" fillId="5" borderId="0" xfId="0" applyNumberFormat="1" applyFont="1" applyFill="1" applyBorder="1" applyAlignment="1">
      <alignment vertical="top" wrapText="1"/>
    </xf>
    <xf numFmtId="0" fontId="35" fillId="24" borderId="28" xfId="0" applyFont="1" applyFill="1" applyBorder="1" applyAlignment="1">
      <alignment vertical="top" wrapText="1"/>
    </xf>
    <xf numFmtId="0" fontId="35" fillId="24" borderId="0" xfId="0" applyFont="1" applyFill="1" applyBorder="1" applyAlignment="1">
      <alignment vertical="top" wrapText="1"/>
    </xf>
    <xf numFmtId="0" fontId="35" fillId="24" borderId="18" xfId="0" applyFont="1" applyFill="1" applyBorder="1" applyAlignment="1">
      <alignment horizontal="left" vertical="top" wrapText="1"/>
    </xf>
    <xf numFmtId="0" fontId="35" fillId="24" borderId="0" xfId="0" applyFont="1" applyFill="1" applyBorder="1" applyAlignment="1">
      <alignment horizontal="left" vertical="top" wrapText="1"/>
    </xf>
    <xf numFmtId="0" fontId="35" fillId="0" borderId="3" xfId="0" applyFont="1" applyBorder="1" applyAlignment="1">
      <alignment vertical="top" wrapText="1"/>
    </xf>
    <xf numFmtId="43" fontId="35" fillId="0" borderId="28" xfId="0" applyNumberFormat="1" applyFont="1" applyBorder="1" applyAlignment="1">
      <alignment vertical="top" wrapText="1"/>
    </xf>
    <xf numFmtId="43" fontId="35" fillId="0" borderId="3" xfId="0" applyNumberFormat="1" applyFont="1" applyBorder="1" applyAlignment="1">
      <alignment vertical="top" wrapText="1"/>
    </xf>
    <xf numFmtId="0" fontId="35" fillId="0" borderId="28" xfId="0" applyFont="1" applyBorder="1" applyAlignment="1">
      <alignment vertical="top" wrapText="1"/>
    </xf>
    <xf numFmtId="0" fontId="35" fillId="0" borderId="0" xfId="0" applyFont="1" applyBorder="1" applyAlignment="1">
      <alignment vertical="top" wrapText="1"/>
    </xf>
    <xf numFmtId="0" fontId="35" fillId="0" borderId="18" xfId="0" applyFont="1" applyBorder="1" applyAlignment="1">
      <alignment horizontal="left" vertical="top" wrapText="1"/>
    </xf>
    <xf numFmtId="43" fontId="35" fillId="0" borderId="0" xfId="0" applyNumberFormat="1" applyFont="1" applyBorder="1" applyAlignment="1">
      <alignment vertical="top" wrapText="1"/>
    </xf>
    <xf numFmtId="43" fontId="35" fillId="0" borderId="18" xfId="0" applyNumberFormat="1" applyFont="1" applyBorder="1" applyAlignment="1">
      <alignment horizontal="left" vertical="top" wrapText="1"/>
    </xf>
    <xf numFmtId="43" fontId="35" fillId="0" borderId="0" xfId="0" applyNumberFormat="1" applyFont="1" applyBorder="1" applyAlignment="1">
      <alignment horizontal="left" vertical="top" wrapText="1"/>
    </xf>
    <xf numFmtId="43" fontId="12" fillId="24" borderId="3" xfId="1" applyFont="1" applyFill="1" applyBorder="1" applyAlignment="1">
      <alignment horizontal="left" vertical="top" wrapText="1"/>
    </xf>
    <xf numFmtId="43" fontId="12" fillId="24" borderId="18" xfId="1" applyFont="1" applyFill="1" applyBorder="1" applyAlignment="1">
      <alignment horizontal="left" vertical="top" wrapText="1"/>
    </xf>
    <xf numFmtId="43" fontId="12" fillId="24" borderId="17" xfId="1" applyFont="1" applyFill="1" applyBorder="1" applyAlignment="1">
      <alignment horizontal="left" vertical="top" wrapText="1"/>
    </xf>
    <xf numFmtId="0" fontId="35" fillId="7" borderId="28" xfId="0" applyFont="1" applyFill="1" applyBorder="1" applyAlignment="1">
      <alignment vertical="top" wrapText="1"/>
    </xf>
    <xf numFmtId="0" fontId="35" fillId="7" borderId="0" xfId="0" applyFont="1" applyFill="1" applyBorder="1" applyAlignment="1">
      <alignment vertical="top" wrapText="1"/>
    </xf>
    <xf numFmtId="0" fontId="35" fillId="7" borderId="18" xfId="0" applyFont="1" applyFill="1" applyBorder="1" applyAlignment="1">
      <alignment horizontal="left" vertical="top" wrapText="1"/>
    </xf>
    <xf numFmtId="0" fontId="35" fillId="7" borderId="0" xfId="0" applyFont="1" applyFill="1" applyBorder="1" applyAlignment="1">
      <alignment horizontal="left" vertical="top" wrapText="1"/>
    </xf>
    <xf numFmtId="43" fontId="12" fillId="14" borderId="28" xfId="0" applyNumberFormat="1" applyFont="1" applyFill="1" applyBorder="1" applyAlignment="1">
      <alignment vertical="top" wrapText="1"/>
    </xf>
    <xf numFmtId="0" fontId="35" fillId="21" borderId="3" xfId="0" applyFont="1" applyFill="1" applyBorder="1" applyAlignment="1">
      <alignment vertical="top" wrapText="1"/>
    </xf>
    <xf numFmtId="0" fontId="35" fillId="21" borderId="20" xfId="0" applyFont="1" applyFill="1" applyBorder="1" applyAlignment="1">
      <alignment vertical="top" wrapText="1"/>
    </xf>
    <xf numFmtId="0" fontId="35" fillId="7" borderId="18" xfId="0" applyFont="1" applyFill="1" applyBorder="1" applyAlignment="1">
      <alignment vertical="top" wrapText="1"/>
    </xf>
    <xf numFmtId="0" fontId="35" fillId="7" borderId="2" xfId="0" applyFont="1" applyFill="1" applyBorder="1" applyAlignment="1">
      <alignment vertical="top" wrapText="1"/>
    </xf>
    <xf numFmtId="0" fontId="35" fillId="7" borderId="69" xfId="0" applyFont="1" applyFill="1" applyBorder="1" applyAlignment="1">
      <alignment vertical="top" wrapText="1"/>
    </xf>
    <xf numFmtId="0" fontId="35" fillId="7" borderId="70" xfId="0" applyFont="1" applyFill="1" applyBorder="1" applyAlignment="1">
      <alignment vertical="top" wrapText="1"/>
    </xf>
    <xf numFmtId="0" fontId="35" fillId="21" borderId="28" xfId="0" applyFont="1" applyFill="1" applyBorder="1" applyAlignment="1">
      <alignment vertical="top" wrapText="1"/>
    </xf>
    <xf numFmtId="0" fontId="35" fillId="21" borderId="48" xfId="0" applyFont="1" applyFill="1" applyBorder="1" applyAlignment="1">
      <alignment horizontal="left" vertical="top" wrapText="1"/>
    </xf>
    <xf numFmtId="43" fontId="35" fillId="21" borderId="27" xfId="0" applyNumberFormat="1" applyFont="1" applyFill="1" applyBorder="1" applyAlignment="1">
      <alignment vertical="top" wrapText="1"/>
    </xf>
    <xf numFmtId="43" fontId="35" fillId="21" borderId="3" xfId="0" applyNumberFormat="1" applyFont="1" applyFill="1" applyBorder="1" applyAlignment="1">
      <alignment vertical="top" wrapText="1"/>
    </xf>
    <xf numFmtId="43" fontId="35" fillId="21" borderId="28" xfId="0" applyNumberFormat="1" applyFont="1" applyFill="1" applyBorder="1" applyAlignment="1">
      <alignment vertical="top" wrapText="1"/>
    </xf>
    <xf numFmtId="0" fontId="12" fillId="14" borderId="48" xfId="0" applyFont="1" applyFill="1" applyBorder="1" applyAlignment="1">
      <alignment horizontal="left" vertical="top" wrapText="1"/>
    </xf>
    <xf numFmtId="0" fontId="12" fillId="14" borderId="17" xfId="0" applyFont="1" applyFill="1" applyBorder="1" applyAlignment="1">
      <alignment horizontal="left" vertical="top" wrapText="1"/>
    </xf>
    <xf numFmtId="0" fontId="12" fillId="14" borderId="3" xfId="0" applyFont="1" applyFill="1" applyBorder="1" applyAlignment="1">
      <alignment vertical="top" wrapText="1"/>
    </xf>
    <xf numFmtId="0" fontId="12" fillId="14" borderId="28" xfId="0" applyFont="1" applyFill="1" applyBorder="1" applyAlignment="1">
      <alignment vertical="top" wrapText="1"/>
    </xf>
    <xf numFmtId="43" fontId="12" fillId="14" borderId="3" xfId="0" applyNumberFormat="1" applyFont="1" applyFill="1" applyBorder="1" applyAlignment="1">
      <alignment horizontal="left" vertical="top" wrapText="1"/>
    </xf>
    <xf numFmtId="43" fontId="33" fillId="0" borderId="0" xfId="0" applyNumberFormat="1" applyFont="1"/>
    <xf numFmtId="0" fontId="42" fillId="0" borderId="0" xfId="0" applyFont="1"/>
    <xf numFmtId="43" fontId="42" fillId="0" borderId="0" xfId="1" applyFont="1"/>
    <xf numFmtId="43" fontId="43" fillId="21" borderId="55" xfId="1" applyFont="1" applyFill="1" applyBorder="1" applyAlignment="1">
      <alignment horizontal="left" wrapText="1"/>
    </xf>
    <xf numFmtId="0" fontId="43" fillId="21" borderId="2" xfId="0" applyFont="1" applyFill="1" applyBorder="1" applyAlignment="1">
      <alignment horizontal="left" wrapText="1"/>
    </xf>
    <xf numFmtId="0" fontId="42" fillId="0" borderId="0" xfId="0" applyFont="1" applyAlignment="1">
      <alignment wrapText="1"/>
    </xf>
    <xf numFmtId="43" fontId="43" fillId="21" borderId="57" xfId="1" applyFont="1" applyFill="1" applyBorder="1" applyAlignment="1">
      <alignment horizontal="left" wrapText="1"/>
    </xf>
    <xf numFmtId="43" fontId="42" fillId="21" borderId="53" xfId="1" applyFont="1" applyFill="1" applyBorder="1" applyAlignment="1">
      <alignment wrapText="1"/>
    </xf>
    <xf numFmtId="0" fontId="43" fillId="24" borderId="3" xfId="0" applyFont="1" applyFill="1" applyBorder="1" applyAlignment="1">
      <alignment horizontal="left" vertical="top"/>
    </xf>
    <xf numFmtId="0" fontId="22" fillId="24" borderId="53" xfId="0" applyFont="1" applyFill="1" applyBorder="1" applyAlignment="1">
      <alignment horizontal="left" vertical="top"/>
    </xf>
    <xf numFmtId="0" fontId="43" fillId="24" borderId="53" xfId="0" applyFont="1" applyFill="1" applyBorder="1" applyAlignment="1">
      <alignment horizontal="left"/>
    </xf>
    <xf numFmtId="43" fontId="43" fillId="24" borderId="53" xfId="1" applyFont="1" applyFill="1" applyBorder="1" applyAlignment="1">
      <alignment horizontal="left"/>
    </xf>
    <xf numFmtId="0" fontId="43" fillId="24" borderId="53" xfId="0" applyFont="1" applyFill="1" applyBorder="1" applyAlignment="1">
      <alignment horizontal="left" wrapText="1"/>
    </xf>
    <xf numFmtId="0" fontId="27" fillId="24" borderId="53" xfId="0" applyFont="1" applyFill="1" applyBorder="1" applyAlignment="1">
      <alignment horizontal="left" vertical="top"/>
    </xf>
    <xf numFmtId="0" fontId="43" fillId="13" borderId="3" xfId="0" applyFont="1" applyFill="1" applyBorder="1" applyAlignment="1">
      <alignment horizontal="left" vertical="top"/>
    </xf>
    <xf numFmtId="0" fontId="27" fillId="13" borderId="53" xfId="0" applyFont="1" applyFill="1" applyBorder="1" applyAlignment="1">
      <alignment horizontal="left" vertical="top"/>
    </xf>
    <xf numFmtId="0" fontId="43" fillId="13" borderId="53" xfId="0" applyFont="1" applyFill="1" applyBorder="1" applyAlignment="1">
      <alignment horizontal="left"/>
    </xf>
    <xf numFmtId="43" fontId="43" fillId="13" borderId="53" xfId="1" applyFont="1" applyFill="1" applyBorder="1" applyAlignment="1">
      <alignment horizontal="left"/>
    </xf>
    <xf numFmtId="0" fontId="43" fillId="13" borderId="53" xfId="0" applyFont="1" applyFill="1" applyBorder="1" applyAlignment="1">
      <alignment horizontal="left" wrapText="1"/>
    </xf>
    <xf numFmtId="0" fontId="43" fillId="0" borderId="3" xfId="0" applyFont="1" applyBorder="1" applyAlignment="1">
      <alignment horizontal="left" vertical="top"/>
    </xf>
    <xf numFmtId="0" fontId="43" fillId="0" borderId="53" xfId="0" applyFont="1" applyBorder="1" applyAlignment="1">
      <alignment horizontal="left" vertical="top"/>
    </xf>
    <xf numFmtId="0" fontId="43" fillId="0" borderId="53" xfId="0" applyFont="1" applyBorder="1" applyAlignment="1">
      <alignment horizontal="left"/>
    </xf>
    <xf numFmtId="43" fontId="43" fillId="0" borderId="53" xfId="1" applyFont="1" applyBorder="1" applyAlignment="1">
      <alignment horizontal="left"/>
    </xf>
    <xf numFmtId="0" fontId="43" fillId="0" borderId="53" xfId="0" applyFont="1" applyBorder="1" applyAlignment="1">
      <alignment horizontal="left" wrapText="1"/>
    </xf>
    <xf numFmtId="0" fontId="22" fillId="0" borderId="3" xfId="0" applyFont="1" applyBorder="1" applyAlignment="1">
      <alignment horizontal="left" vertical="top"/>
    </xf>
    <xf numFmtId="0" fontId="22" fillId="0" borderId="53" xfId="0" applyFont="1" applyBorder="1" applyAlignment="1">
      <alignment horizontal="left" vertical="top"/>
    </xf>
    <xf numFmtId="0" fontId="22" fillId="0" borderId="53" xfId="0" applyFont="1" applyBorder="1" applyAlignment="1">
      <alignment horizontal="left"/>
    </xf>
    <xf numFmtId="43" fontId="22" fillId="0" borderId="53" xfId="1" applyFont="1" applyBorder="1" applyAlignment="1">
      <alignment horizontal="left"/>
    </xf>
    <xf numFmtId="0" fontId="22" fillId="0" borderId="53" xfId="0" applyFont="1" applyBorder="1" applyAlignment="1">
      <alignment horizontal="left" wrapText="1"/>
    </xf>
    <xf numFmtId="0" fontId="44" fillId="0" borderId="0" xfId="0" applyFont="1" applyAlignment="1">
      <alignment wrapText="1"/>
    </xf>
    <xf numFmtId="0" fontId="44" fillId="0" borderId="0" xfId="0" applyFont="1"/>
    <xf numFmtId="0" fontId="43" fillId="0" borderId="53" xfId="0" applyFont="1" applyBorder="1" applyAlignment="1">
      <alignment horizontal="center"/>
    </xf>
    <xf numFmtId="43" fontId="43" fillId="0" borderId="53" xfId="0" applyNumberFormat="1" applyFont="1" applyBorder="1" applyAlignment="1">
      <alignment horizontal="left" wrapText="1"/>
    </xf>
    <xf numFmtId="43" fontId="43" fillId="0" borderId="57" xfId="1" applyFont="1" applyBorder="1" applyAlignment="1">
      <alignment horizontal="left"/>
    </xf>
    <xf numFmtId="43" fontId="43" fillId="0" borderId="20" xfId="1" applyFont="1" applyBorder="1" applyAlignment="1">
      <alignment horizontal="left"/>
    </xf>
    <xf numFmtId="43" fontId="43" fillId="0" borderId="3" xfId="1" applyFont="1" applyBorder="1" applyAlignment="1">
      <alignment horizontal="left"/>
    </xf>
    <xf numFmtId="0" fontId="43" fillId="0" borderId="53" xfId="0" applyFont="1" applyBorder="1" applyAlignment="1">
      <alignment horizontal="left" vertical="top" wrapText="1"/>
    </xf>
    <xf numFmtId="0" fontId="22" fillId="27" borderId="3" xfId="0" applyFont="1" applyFill="1" applyBorder="1" applyAlignment="1">
      <alignment horizontal="left" vertical="top"/>
    </xf>
    <xf numFmtId="0" fontId="22" fillId="27" borderId="53" xfId="0" applyFont="1" applyFill="1" applyBorder="1" applyAlignment="1">
      <alignment horizontal="left" vertical="top"/>
    </xf>
    <xf numFmtId="0" fontId="22" fillId="27" borderId="53" xfId="0" applyFont="1" applyFill="1" applyBorder="1" applyAlignment="1">
      <alignment horizontal="center"/>
    </xf>
    <xf numFmtId="43" fontId="22" fillId="27" borderId="53" xfId="1" applyFont="1" applyFill="1" applyBorder="1" applyAlignment="1">
      <alignment horizontal="left"/>
    </xf>
    <xf numFmtId="0" fontId="22" fillId="16" borderId="3" xfId="0" applyFont="1" applyFill="1" applyBorder="1" applyAlignment="1">
      <alignment horizontal="left" vertical="top"/>
    </xf>
    <xf numFmtId="0" fontId="22" fillId="16" borderId="53" xfId="0" applyFont="1" applyFill="1" applyBorder="1" applyAlignment="1">
      <alignment horizontal="left" vertical="top"/>
    </xf>
    <xf numFmtId="43" fontId="22" fillId="16" borderId="53" xfId="0" applyNumberFormat="1" applyFont="1" applyFill="1" applyBorder="1" applyAlignment="1">
      <alignment horizontal="left" vertical="top"/>
    </xf>
    <xf numFmtId="165" fontId="43" fillId="0" borderId="53" xfId="1" applyNumberFormat="1" applyFont="1" applyBorder="1" applyAlignment="1"/>
    <xf numFmtId="165" fontId="43" fillId="0" borderId="53" xfId="1" applyNumberFormat="1" applyFont="1" applyBorder="1" applyAlignment="1">
      <alignment horizontal="center"/>
    </xf>
    <xf numFmtId="0" fontId="22" fillId="16" borderId="53" xfId="0" applyFont="1" applyFill="1" applyBorder="1" applyAlignment="1">
      <alignment horizontal="center" vertical="top"/>
    </xf>
    <xf numFmtId="0" fontId="27" fillId="20" borderId="3" xfId="0" applyFont="1" applyFill="1" applyBorder="1" applyAlignment="1">
      <alignment horizontal="left" vertical="top"/>
    </xf>
    <xf numFmtId="0" fontId="27" fillId="20" borderId="53" xfId="0" applyFont="1" applyFill="1" applyBorder="1" applyAlignment="1">
      <alignment horizontal="left" vertical="top"/>
    </xf>
    <xf numFmtId="43" fontId="27" fillId="20" borderId="53" xfId="0" applyNumberFormat="1" applyFont="1" applyFill="1" applyBorder="1" applyAlignment="1">
      <alignment horizontal="left" vertical="top"/>
    </xf>
    <xf numFmtId="0" fontId="42" fillId="3" borderId="0" xfId="0" applyFont="1" applyFill="1" applyAlignment="1">
      <alignment wrapText="1"/>
    </xf>
    <xf numFmtId="0" fontId="42" fillId="3" borderId="0" xfId="0" applyFont="1" applyFill="1"/>
    <xf numFmtId="0" fontId="22" fillId="28" borderId="3" xfId="0" applyFont="1" applyFill="1" applyBorder="1" applyAlignment="1">
      <alignment horizontal="left" vertical="top"/>
    </xf>
    <xf numFmtId="0" fontId="27" fillId="28" borderId="53" xfId="0" applyFont="1" applyFill="1" applyBorder="1" applyAlignment="1">
      <alignment horizontal="left" vertical="top"/>
    </xf>
    <xf numFmtId="0" fontId="22" fillId="28" borderId="53" xfId="0" applyFont="1" applyFill="1" applyBorder="1" applyAlignment="1">
      <alignment horizontal="left" vertical="top"/>
    </xf>
    <xf numFmtId="43" fontId="22" fillId="28" borderId="53" xfId="0" applyNumberFormat="1" applyFont="1" applyFill="1" applyBorder="1" applyAlignment="1">
      <alignment horizontal="left" vertical="top"/>
    </xf>
    <xf numFmtId="0" fontId="22" fillId="15" borderId="3" xfId="0" applyFont="1" applyFill="1" applyBorder="1" applyAlignment="1">
      <alignment horizontal="left" vertical="top"/>
    </xf>
    <xf numFmtId="0" fontId="22" fillId="15" borderId="53" xfId="0" applyFont="1" applyFill="1" applyBorder="1" applyAlignment="1">
      <alignment horizontal="left" vertical="top"/>
    </xf>
    <xf numFmtId="43" fontId="22" fillId="15" borderId="53" xfId="0" applyNumberFormat="1" applyFont="1" applyFill="1" applyBorder="1" applyAlignment="1">
      <alignment horizontal="left" vertical="top"/>
    </xf>
    <xf numFmtId="43" fontId="22" fillId="15" borderId="53" xfId="1" applyFont="1" applyFill="1" applyBorder="1" applyAlignment="1">
      <alignment horizontal="center" vertical="top"/>
    </xf>
    <xf numFmtId="0" fontId="22" fillId="2" borderId="3" xfId="0" applyFont="1" applyFill="1" applyBorder="1" applyAlignment="1">
      <alignment horizontal="left" vertical="top"/>
    </xf>
    <xf numFmtId="0" fontId="22" fillId="2" borderId="53" xfId="0" applyFont="1" applyFill="1" applyBorder="1" applyAlignment="1">
      <alignment horizontal="left" vertical="top"/>
    </xf>
    <xf numFmtId="43" fontId="22" fillId="2" borderId="53" xfId="0" applyNumberFormat="1" applyFont="1" applyFill="1" applyBorder="1" applyAlignment="1">
      <alignment horizontal="left" vertical="top"/>
    </xf>
    <xf numFmtId="0" fontId="22" fillId="3" borderId="3" xfId="0" applyFont="1" applyFill="1" applyBorder="1" applyAlignment="1">
      <alignment horizontal="left" vertical="top"/>
    </xf>
    <xf numFmtId="0" fontId="22" fillId="3" borderId="53" xfId="0" applyFont="1" applyFill="1" applyBorder="1" applyAlignment="1">
      <alignment horizontal="left" vertical="top" wrapText="1"/>
    </xf>
    <xf numFmtId="0" fontId="22" fillId="3" borderId="53" xfId="0" applyFont="1" applyFill="1" applyBorder="1" applyAlignment="1">
      <alignment horizontal="center" vertical="center"/>
    </xf>
    <xf numFmtId="43" fontId="22" fillId="3" borderId="53" xfId="0" applyNumberFormat="1" applyFont="1" applyFill="1" applyBorder="1" applyAlignment="1">
      <alignment horizontal="center" vertical="center"/>
    </xf>
    <xf numFmtId="43" fontId="22" fillId="3" borderId="53" xfId="0" applyNumberFormat="1" applyFont="1" applyFill="1" applyBorder="1" applyAlignment="1">
      <alignment horizontal="left" vertical="center"/>
    </xf>
    <xf numFmtId="0" fontId="22" fillId="3" borderId="53" xfId="0" applyFont="1" applyFill="1" applyBorder="1" applyAlignment="1">
      <alignment horizontal="left" vertical="top"/>
    </xf>
    <xf numFmtId="43" fontId="27" fillId="28" borderId="53" xfId="0" applyNumberFormat="1" applyFont="1" applyFill="1" applyBorder="1" applyAlignment="1">
      <alignment horizontal="left" vertical="top"/>
    </xf>
    <xf numFmtId="0" fontId="22" fillId="16" borderId="0" xfId="0" applyFont="1" applyFill="1" applyBorder="1" applyAlignment="1">
      <alignment horizontal="left" vertical="top"/>
    </xf>
    <xf numFmtId="43" fontId="22" fillId="16" borderId="53" xfId="1" applyFont="1" applyFill="1" applyBorder="1" applyAlignment="1">
      <alignment horizontal="center" vertical="top"/>
    </xf>
    <xf numFmtId="0" fontId="22" fillId="10" borderId="3" xfId="0" applyFont="1" applyFill="1" applyBorder="1" applyAlignment="1">
      <alignment horizontal="left" vertical="top"/>
    </xf>
    <xf numFmtId="0" fontId="12" fillId="10" borderId="3" xfId="0" applyFont="1" applyFill="1" applyBorder="1" applyAlignment="1">
      <alignment horizontal="left" vertical="top"/>
    </xf>
    <xf numFmtId="0" fontId="22" fillId="10" borderId="53" xfId="0" applyFont="1" applyFill="1" applyBorder="1" applyAlignment="1">
      <alignment horizontal="center"/>
    </xf>
    <xf numFmtId="43" fontId="22" fillId="10" borderId="53" xfId="1" applyFont="1" applyFill="1" applyBorder="1" applyAlignment="1">
      <alignment horizontal="left"/>
    </xf>
    <xf numFmtId="43" fontId="22" fillId="10" borderId="53" xfId="0" applyNumberFormat="1" applyFont="1" applyFill="1" applyBorder="1" applyAlignment="1">
      <alignment horizontal="left" wrapText="1"/>
    </xf>
    <xf numFmtId="0" fontId="22" fillId="10" borderId="53" xfId="0" applyFont="1" applyFill="1" applyBorder="1" applyAlignment="1">
      <alignment horizontal="left" wrapText="1"/>
    </xf>
    <xf numFmtId="0" fontId="22" fillId="25" borderId="3" xfId="0" applyFont="1" applyFill="1" applyBorder="1" applyAlignment="1">
      <alignment horizontal="left" vertical="top"/>
    </xf>
    <xf numFmtId="0" fontId="22" fillId="17" borderId="53" xfId="0" applyFont="1" applyFill="1" applyBorder="1" applyAlignment="1">
      <alignment horizontal="left" vertical="top"/>
    </xf>
    <xf numFmtId="165" fontId="22" fillId="17" borderId="53" xfId="0" applyNumberFormat="1" applyFont="1" applyFill="1" applyBorder="1" applyAlignment="1">
      <alignment horizontal="left" vertical="top"/>
    </xf>
    <xf numFmtId="43" fontId="12" fillId="10" borderId="3" xfId="1" applyFont="1" applyFill="1" applyBorder="1" applyAlignment="1">
      <alignment horizontal="left" vertical="top"/>
    </xf>
    <xf numFmtId="43" fontId="12" fillId="8" borderId="3" xfId="1" applyFont="1" applyFill="1" applyBorder="1" applyAlignment="1">
      <alignment horizontal="left" vertical="top"/>
    </xf>
    <xf numFmtId="43" fontId="12" fillId="20" borderId="4" xfId="1" applyFont="1" applyFill="1" applyBorder="1" applyAlignment="1">
      <alignment horizontal="left" vertical="top"/>
    </xf>
    <xf numFmtId="43" fontId="12" fillId="20" borderId="3" xfId="1" applyFont="1" applyFill="1" applyBorder="1" applyAlignment="1">
      <alignment horizontal="left" vertical="top"/>
    </xf>
    <xf numFmtId="0" fontId="22" fillId="20" borderId="3" xfId="0" applyFont="1" applyFill="1" applyBorder="1" applyAlignment="1">
      <alignment horizontal="left" vertical="top"/>
    </xf>
    <xf numFmtId="0" fontId="22" fillId="20" borderId="3" xfId="0" applyFont="1" applyFill="1" applyBorder="1" applyAlignment="1">
      <alignment horizontal="center"/>
    </xf>
    <xf numFmtId="43" fontId="22" fillId="20" borderId="3" xfId="1" applyFont="1" applyFill="1" applyBorder="1" applyAlignment="1">
      <alignment horizontal="left"/>
    </xf>
    <xf numFmtId="43" fontId="22" fillId="20" borderId="3" xfId="0" applyNumberFormat="1" applyFont="1" applyFill="1" applyBorder="1" applyAlignment="1">
      <alignment horizontal="left" wrapText="1"/>
    </xf>
    <xf numFmtId="0" fontId="22" fillId="20" borderId="3" xfId="0" applyFont="1" applyFill="1" applyBorder="1" applyAlignment="1">
      <alignment horizontal="left" wrapText="1"/>
    </xf>
    <xf numFmtId="0" fontId="22" fillId="26" borderId="5" xfId="0" applyFont="1" applyFill="1" applyBorder="1" applyAlignment="1">
      <alignment horizontal="left" vertical="top"/>
    </xf>
    <xf numFmtId="0" fontId="22" fillId="26" borderId="53" xfId="0" applyFont="1" applyFill="1" applyBorder="1" applyAlignment="1">
      <alignment horizontal="left" vertical="top"/>
    </xf>
    <xf numFmtId="0" fontId="22" fillId="26" borderId="53" xfId="0" applyFont="1" applyFill="1" applyBorder="1" applyAlignment="1">
      <alignment horizontal="center"/>
    </xf>
    <xf numFmtId="43" fontId="22" fillId="26" borderId="53" xfId="1" applyFont="1" applyFill="1" applyBorder="1" applyAlignment="1">
      <alignment horizontal="left"/>
    </xf>
    <xf numFmtId="43" fontId="22" fillId="26" borderId="53" xfId="0" applyNumberFormat="1" applyFont="1" applyFill="1" applyBorder="1" applyAlignment="1">
      <alignment horizontal="left" wrapText="1"/>
    </xf>
    <xf numFmtId="0" fontId="22" fillId="26" borderId="53" xfId="0" applyFont="1" applyFill="1" applyBorder="1" applyAlignment="1">
      <alignment horizontal="left" wrapText="1"/>
    </xf>
    <xf numFmtId="4" fontId="43" fillId="0" borderId="53" xfId="0" applyNumberFormat="1" applyFont="1" applyBorder="1" applyAlignment="1">
      <alignment wrapText="1"/>
    </xf>
    <xf numFmtId="0" fontId="22" fillId="26" borderId="3" xfId="0" applyFont="1" applyFill="1" applyBorder="1" applyAlignment="1">
      <alignment horizontal="left" vertical="top"/>
    </xf>
    <xf numFmtId="0" fontId="22" fillId="22" borderId="53" xfId="0" applyFont="1" applyFill="1" applyBorder="1" applyAlignment="1">
      <alignment horizontal="left" vertical="top"/>
    </xf>
    <xf numFmtId="0" fontId="22" fillId="5" borderId="53" xfId="0" applyFont="1" applyFill="1" applyBorder="1" applyAlignment="1">
      <alignment horizontal="left" vertical="top"/>
    </xf>
    <xf numFmtId="0" fontId="22" fillId="15" borderId="0" xfId="0" applyFont="1" applyFill="1" applyBorder="1" applyAlignment="1">
      <alignment horizontal="left" vertical="top"/>
    </xf>
    <xf numFmtId="43" fontId="43" fillId="0" borderId="53" xfId="1" applyFont="1" applyBorder="1" applyAlignment="1"/>
    <xf numFmtId="0" fontId="43" fillId="0" borderId="4" xfId="0" applyFont="1" applyBorder="1" applyAlignment="1">
      <alignment horizontal="left" vertical="top"/>
    </xf>
    <xf numFmtId="43" fontId="27" fillId="20" borderId="53" xfId="1" applyFont="1" applyFill="1" applyBorder="1" applyAlignment="1">
      <alignment horizontal="left" vertical="top"/>
    </xf>
    <xf numFmtId="0" fontId="12" fillId="15" borderId="53" xfId="0" applyFont="1" applyFill="1" applyBorder="1" applyAlignment="1">
      <alignment horizontal="left" vertical="top"/>
    </xf>
    <xf numFmtId="0" fontId="22" fillId="6" borderId="3" xfId="0" applyFont="1" applyFill="1" applyBorder="1" applyAlignment="1">
      <alignment horizontal="left" vertical="top"/>
    </xf>
    <xf numFmtId="0" fontId="22" fillId="6" borderId="53" xfId="0" applyFont="1" applyFill="1" applyBorder="1" applyAlignment="1">
      <alignment horizontal="left" vertical="top"/>
    </xf>
    <xf numFmtId="43" fontId="22" fillId="6" borderId="53" xfId="0" applyNumberFormat="1" applyFont="1" applyFill="1" applyBorder="1" applyAlignment="1">
      <alignment horizontal="left" vertical="top"/>
    </xf>
    <xf numFmtId="43" fontId="43" fillId="0" borderId="53" xfId="1" applyFont="1" applyBorder="1" applyAlignment="1">
      <alignment horizontal="left" wrapText="1"/>
    </xf>
    <xf numFmtId="165" fontId="22" fillId="6" borderId="53" xfId="0" applyNumberFormat="1" applyFont="1" applyFill="1" applyBorder="1" applyAlignment="1">
      <alignment horizontal="left" vertical="top"/>
    </xf>
    <xf numFmtId="43" fontId="22" fillId="6" borderId="53" xfId="1" applyFont="1" applyFill="1" applyBorder="1" applyAlignment="1">
      <alignment horizontal="left" vertical="top"/>
    </xf>
    <xf numFmtId="0" fontId="22" fillId="29" borderId="3" xfId="0" applyFont="1" applyFill="1" applyBorder="1" applyAlignment="1">
      <alignment horizontal="left" vertical="top"/>
    </xf>
    <xf numFmtId="0" fontId="12" fillId="29" borderId="53" xfId="0" applyFont="1" applyFill="1" applyBorder="1" applyAlignment="1">
      <alignment horizontal="left" vertical="top"/>
    </xf>
    <xf numFmtId="0" fontId="22" fillId="29" borderId="53" xfId="0" applyFont="1" applyFill="1" applyBorder="1" applyAlignment="1">
      <alignment horizontal="left" vertical="top"/>
    </xf>
    <xf numFmtId="43" fontId="22" fillId="29" borderId="53" xfId="0" applyNumberFormat="1" applyFont="1" applyFill="1" applyBorder="1" applyAlignment="1">
      <alignment horizontal="left" vertical="top"/>
    </xf>
    <xf numFmtId="0" fontId="40" fillId="16" borderId="3" xfId="0" applyFont="1" applyFill="1" applyBorder="1" applyAlignment="1">
      <alignment horizontal="left"/>
    </xf>
    <xf numFmtId="0" fontId="12" fillId="16" borderId="3" xfId="0" applyFont="1" applyFill="1" applyBorder="1" applyAlignment="1">
      <alignment horizontal="left"/>
    </xf>
    <xf numFmtId="43" fontId="12" fillId="16" borderId="3" xfId="1" applyFont="1" applyFill="1" applyBorder="1" applyAlignment="1">
      <alignment horizontal="left"/>
    </xf>
    <xf numFmtId="0" fontId="22" fillId="25" borderId="53" xfId="0" applyFont="1" applyFill="1" applyBorder="1" applyAlignment="1">
      <alignment horizontal="center"/>
    </xf>
    <xf numFmtId="165" fontId="22" fillId="25" borderId="53" xfId="1" applyNumberFormat="1" applyFont="1" applyFill="1" applyBorder="1" applyAlignment="1"/>
    <xf numFmtId="43" fontId="22" fillId="25" borderId="53" xfId="1" applyFont="1" applyFill="1" applyBorder="1" applyAlignment="1"/>
    <xf numFmtId="43" fontId="22" fillId="8" borderId="3" xfId="1" applyFont="1" applyFill="1" applyBorder="1" applyAlignment="1">
      <alignment horizontal="left"/>
    </xf>
    <xf numFmtId="0" fontId="12" fillId="17" borderId="53" xfId="0" applyFont="1" applyFill="1" applyBorder="1" applyAlignment="1">
      <alignment horizontal="center"/>
    </xf>
    <xf numFmtId="0" fontId="22" fillId="17" borderId="53" xfId="0" applyFont="1" applyFill="1" applyBorder="1" applyAlignment="1">
      <alignment horizontal="center"/>
    </xf>
    <xf numFmtId="43" fontId="22" fillId="17" borderId="53" xfId="1" applyFont="1" applyFill="1" applyBorder="1" applyAlignment="1">
      <alignment horizontal="left"/>
    </xf>
    <xf numFmtId="0" fontId="22" fillId="17" borderId="53" xfId="0" applyFont="1" applyFill="1" applyBorder="1" applyAlignment="1">
      <alignment horizontal="left" wrapText="1"/>
    </xf>
    <xf numFmtId="0" fontId="40" fillId="26" borderId="53" xfId="0" applyFont="1" applyFill="1" applyBorder="1" applyAlignment="1">
      <alignment horizontal="left"/>
    </xf>
    <xf numFmtId="0" fontId="22" fillId="20" borderId="53" xfId="0" applyFont="1" applyFill="1" applyBorder="1" applyAlignment="1">
      <alignment horizontal="left" vertical="top"/>
    </xf>
    <xf numFmtId="43" fontId="22" fillId="20" borderId="53" xfId="0" applyNumberFormat="1" applyFont="1" applyFill="1" applyBorder="1" applyAlignment="1">
      <alignment horizontal="left" vertical="top"/>
    </xf>
    <xf numFmtId="0" fontId="40" fillId="8" borderId="0" xfId="0" applyFont="1" applyFill="1" applyBorder="1" applyAlignment="1">
      <alignment horizontal="left"/>
    </xf>
    <xf numFmtId="43" fontId="22" fillId="16" borderId="53" xfId="1" applyFont="1" applyFill="1" applyBorder="1" applyAlignment="1">
      <alignment horizontal="left" vertical="top"/>
    </xf>
    <xf numFmtId="0" fontId="33" fillId="0" borderId="0" xfId="0" applyFont="1" applyAlignment="1">
      <alignment wrapText="1"/>
    </xf>
    <xf numFmtId="43" fontId="44" fillId="0" borderId="0" xfId="1" applyFont="1"/>
    <xf numFmtId="43" fontId="35" fillId="3" borderId="57" xfId="0" applyNumberFormat="1" applyFont="1" applyFill="1" applyBorder="1" applyAlignment="1">
      <alignment horizontal="left" vertical="top" wrapText="1"/>
    </xf>
    <xf numFmtId="43" fontId="22" fillId="3" borderId="53" xfId="0" applyNumberFormat="1" applyFont="1" applyFill="1" applyBorder="1" applyAlignment="1">
      <alignment horizontal="left" vertical="top"/>
    </xf>
    <xf numFmtId="0" fontId="30" fillId="0" borderId="4" xfId="0" applyFont="1" applyBorder="1" applyAlignment="1">
      <alignment horizontal="left" vertical="top" wrapText="1"/>
    </xf>
    <xf numFmtId="43" fontId="30" fillId="0" borderId="4" xfId="0" applyNumberFormat="1" applyFont="1" applyBorder="1" applyAlignment="1">
      <alignment horizontal="left" vertical="top" wrapText="1"/>
    </xf>
    <xf numFmtId="9" fontId="30" fillId="0" borderId="3" xfId="5" applyFont="1" applyBorder="1" applyAlignment="1">
      <alignment horizontal="center" vertical="top" wrapText="1"/>
    </xf>
    <xf numFmtId="0" fontId="7" fillId="21" borderId="1" xfId="0" applyFont="1" applyFill="1" applyBorder="1" applyAlignment="1">
      <alignment horizontal="left"/>
    </xf>
    <xf numFmtId="0" fontId="7" fillId="21" borderId="18" xfId="0" applyFont="1" applyFill="1" applyBorder="1" applyAlignment="1">
      <alignment horizontal="left"/>
    </xf>
    <xf numFmtId="0" fontId="7" fillId="21" borderId="2" xfId="0" applyFont="1" applyFill="1" applyBorder="1" applyAlignment="1">
      <alignment horizontal="left"/>
    </xf>
    <xf numFmtId="0" fontId="45" fillId="21" borderId="53" xfId="0" applyFont="1" applyFill="1" applyBorder="1" applyAlignment="1">
      <alignment horizontal="left"/>
    </xf>
    <xf numFmtId="0" fontId="13" fillId="24" borderId="48" xfId="0" applyFont="1" applyFill="1" applyBorder="1" applyAlignment="1">
      <alignment horizontal="left" vertical="top"/>
    </xf>
    <xf numFmtId="0" fontId="34" fillId="24" borderId="53" xfId="6" applyFill="1" applyBorder="1" applyAlignment="1" applyProtection="1">
      <alignment horizontal="left" vertical="top"/>
    </xf>
    <xf numFmtId="0" fontId="46" fillId="7" borderId="48" xfId="0" applyFont="1" applyFill="1" applyBorder="1" applyAlignment="1">
      <alignment horizontal="left" vertical="top"/>
    </xf>
    <xf numFmtId="0" fontId="46" fillId="7" borderId="20" xfId="0" applyFont="1" applyFill="1" applyBorder="1" applyAlignment="1">
      <alignment horizontal="left" vertical="top"/>
    </xf>
    <xf numFmtId="0" fontId="7" fillId="7" borderId="48" xfId="0" applyFont="1" applyFill="1" applyBorder="1" applyAlignment="1">
      <alignment horizontal="left" vertical="top"/>
    </xf>
    <xf numFmtId="0" fontId="7" fillId="7" borderId="20" xfId="0" applyFont="1" applyFill="1" applyBorder="1" applyAlignment="1">
      <alignment horizontal="left" vertical="top"/>
    </xf>
    <xf numFmtId="0" fontId="7" fillId="7" borderId="75" xfId="0" applyFont="1" applyFill="1" applyBorder="1" applyAlignment="1">
      <alignment horizontal="left" vertical="top"/>
    </xf>
    <xf numFmtId="0" fontId="7" fillId="7" borderId="76" xfId="0" applyFont="1" applyFill="1" applyBorder="1" applyAlignment="1">
      <alignment horizontal="left" vertical="top"/>
    </xf>
    <xf numFmtId="0" fontId="7" fillId="7" borderId="74" xfId="0" applyFont="1" applyFill="1" applyBorder="1" applyAlignment="1">
      <alignment horizontal="left" vertical="top"/>
    </xf>
    <xf numFmtId="0" fontId="7" fillId="7" borderId="77" xfId="0" applyFont="1" applyFill="1" applyBorder="1" applyAlignment="1">
      <alignment horizontal="left" vertical="top"/>
    </xf>
    <xf numFmtId="0" fontId="0" fillId="30" borderId="75" xfId="0" applyFill="1" applyBorder="1" applyAlignment="1">
      <alignment vertical="top"/>
    </xf>
    <xf numFmtId="0" fontId="46" fillId="30" borderId="76" xfId="0" applyFont="1" applyFill="1" applyBorder="1" applyAlignment="1">
      <alignment horizontal="left" vertical="top"/>
    </xf>
    <xf numFmtId="0" fontId="7" fillId="0" borderId="75" xfId="0" applyFont="1" applyBorder="1" applyAlignment="1">
      <alignment horizontal="left" vertical="top"/>
    </xf>
    <xf numFmtId="0" fontId="7" fillId="0" borderId="76" xfId="0" applyFont="1" applyBorder="1" applyAlignment="1">
      <alignment horizontal="left" vertical="top"/>
    </xf>
    <xf numFmtId="0" fontId="46" fillId="30" borderId="0" xfId="0" applyFont="1" applyFill="1" applyAlignment="1">
      <alignment horizontal="left" vertical="top"/>
    </xf>
    <xf numFmtId="4" fontId="46" fillId="30" borderId="53" xfId="0" applyNumberFormat="1" applyFont="1" applyFill="1" applyBorder="1" applyAlignment="1">
      <alignment horizontal="right" vertical="top"/>
    </xf>
    <xf numFmtId="0" fontId="13" fillId="31" borderId="75" xfId="0" applyFont="1" applyFill="1" applyBorder="1" applyAlignment="1">
      <alignment horizontal="left" vertical="top"/>
    </xf>
    <xf numFmtId="0" fontId="7" fillId="7" borderId="53" xfId="0" applyFont="1" applyFill="1" applyBorder="1" applyAlignment="1">
      <alignment horizontal="left" vertical="top"/>
    </xf>
    <xf numFmtId="0" fontId="0" fillId="30" borderId="45" xfId="0" applyFill="1" applyBorder="1" applyAlignment="1">
      <alignment vertical="top"/>
    </xf>
    <xf numFmtId="0" fontId="46" fillId="7" borderId="78" xfId="0" applyFont="1" applyFill="1" applyBorder="1" applyAlignment="1">
      <alignment horizontal="left" vertical="top"/>
    </xf>
    <xf numFmtId="0" fontId="46" fillId="7" borderId="73" xfId="0" applyFont="1" applyFill="1" applyBorder="1" applyAlignment="1">
      <alignment horizontal="left" vertical="top"/>
    </xf>
    <xf numFmtId="0" fontId="0" fillId="7" borderId="74" xfId="0" applyFill="1" applyBorder="1" applyAlignment="1">
      <alignment vertical="top"/>
    </xf>
    <xf numFmtId="0" fontId="7" fillId="21" borderId="53" xfId="0" applyFont="1" applyFill="1" applyBorder="1" applyAlignment="1">
      <alignment horizontal="right"/>
    </xf>
    <xf numFmtId="0" fontId="7" fillId="30" borderId="75" xfId="0" applyFont="1" applyFill="1" applyBorder="1" applyAlignment="1">
      <alignment horizontal="left" vertical="top"/>
    </xf>
    <xf numFmtId="0" fontId="7" fillId="30" borderId="76" xfId="0" applyFont="1" applyFill="1" applyBorder="1" applyAlignment="1">
      <alignment horizontal="left" vertical="top"/>
    </xf>
    <xf numFmtId="0" fontId="46" fillId="0" borderId="75" xfId="0" applyFont="1" applyBorder="1" applyAlignment="1">
      <alignment horizontal="left" vertical="top"/>
    </xf>
    <xf numFmtId="0" fontId="46" fillId="0" borderId="76" xfId="0" applyFont="1" applyBorder="1" applyAlignment="1">
      <alignment horizontal="left" vertical="top"/>
    </xf>
    <xf numFmtId="0" fontId="7" fillId="21" borderId="53" xfId="0" applyFont="1" applyFill="1" applyBorder="1" applyAlignment="1">
      <alignment horizontal="center" vertical="top"/>
    </xf>
    <xf numFmtId="0" fontId="7" fillId="21" borderId="53" xfId="0" applyFont="1" applyFill="1" applyBorder="1" applyAlignment="1">
      <alignment horizontal="left"/>
    </xf>
    <xf numFmtId="0" fontId="7" fillId="0" borderId="48" xfId="0" applyFont="1" applyBorder="1" applyAlignment="1">
      <alignment horizontal="left"/>
    </xf>
    <xf numFmtId="0" fontId="7" fillId="0" borderId="53" xfId="0" applyFont="1" applyBorder="1" applyAlignment="1">
      <alignment horizontal="left"/>
    </xf>
    <xf numFmtId="0" fontId="7" fillId="7" borderId="53" xfId="0" applyFont="1" applyFill="1" applyBorder="1" applyAlignment="1">
      <alignment horizontal="left"/>
    </xf>
    <xf numFmtId="4" fontId="46" fillId="21" borderId="53" xfId="0" applyNumberFormat="1" applyFont="1" applyFill="1" applyBorder="1" applyAlignment="1">
      <alignment horizontal="center"/>
    </xf>
    <xf numFmtId="0" fontId="13" fillId="24" borderId="17" xfId="0" applyFont="1" applyFill="1" applyBorder="1" applyAlignment="1">
      <alignment horizontal="left"/>
    </xf>
    <xf numFmtId="0" fontId="7" fillId="7" borderId="17" xfId="0" applyFont="1" applyFill="1" applyBorder="1" applyAlignment="1">
      <alignment horizontal="right"/>
    </xf>
    <xf numFmtId="4" fontId="45" fillId="24" borderId="80" xfId="0" applyNumberFormat="1" applyFont="1" applyFill="1" applyBorder="1" applyAlignment="1">
      <alignment horizontal="right"/>
    </xf>
    <xf numFmtId="4" fontId="45" fillId="30" borderId="86" xfId="0" applyNumberFormat="1" applyFont="1" applyFill="1" applyBorder="1" applyAlignment="1">
      <alignment horizontal="right"/>
    </xf>
    <xf numFmtId="0" fontId="7" fillId="21" borderId="17" xfId="0" applyFont="1" applyFill="1" applyBorder="1" applyAlignment="1">
      <alignment horizontal="left"/>
    </xf>
    <xf numFmtId="4" fontId="46" fillId="21" borderId="17" xfId="0" applyNumberFormat="1" applyFont="1" applyFill="1" applyBorder="1" applyAlignment="1">
      <alignment horizontal="center"/>
    </xf>
    <xf numFmtId="4" fontId="45" fillId="32" borderId="17" xfId="0" applyNumberFormat="1" applyFont="1" applyFill="1" applyBorder="1" applyAlignment="1">
      <alignment horizontal="right"/>
    </xf>
    <xf numFmtId="0" fontId="46" fillId="30" borderId="82" xfId="0" applyFont="1" applyFill="1" applyBorder="1" applyAlignment="1">
      <alignment vertical="top"/>
    </xf>
    <xf numFmtId="0" fontId="0" fillId="30" borderId="74" xfId="0" applyFill="1" applyBorder="1" applyAlignment="1">
      <alignment vertical="top"/>
    </xf>
    <xf numFmtId="0" fontId="46" fillId="0" borderId="17" xfId="0" applyFont="1" applyBorder="1" applyAlignment="1">
      <alignment horizontal="left"/>
    </xf>
    <xf numFmtId="4" fontId="7" fillId="0" borderId="17" xfId="0" applyNumberFormat="1" applyFont="1" applyBorder="1" applyAlignment="1">
      <alignment horizontal="right"/>
    </xf>
    <xf numFmtId="0" fontId="7" fillId="0" borderId="17" xfId="0" applyFont="1" applyBorder="1" applyAlignment="1">
      <alignment horizontal="right"/>
    </xf>
    <xf numFmtId="4" fontId="46" fillId="30" borderId="17" xfId="0" applyNumberFormat="1" applyFont="1" applyFill="1" applyBorder="1" applyAlignment="1">
      <alignment horizontal="right"/>
    </xf>
    <xf numFmtId="0" fontId="13" fillId="24" borderId="17" xfId="0" applyFont="1" applyFill="1" applyBorder="1" applyAlignment="1">
      <alignment horizontal="right"/>
    </xf>
    <xf numFmtId="0" fontId="13" fillId="31" borderId="17" xfId="0" applyFont="1" applyFill="1" applyBorder="1" applyAlignment="1">
      <alignment horizontal="left"/>
    </xf>
    <xf numFmtId="4" fontId="45" fillId="30" borderId="17" xfId="0" applyNumberFormat="1" applyFont="1" applyFill="1" applyBorder="1" applyAlignment="1">
      <alignment horizontal="right"/>
    </xf>
    <xf numFmtId="0" fontId="46" fillId="0" borderId="17" xfId="0" applyFont="1" applyBorder="1" applyAlignment="1">
      <alignment horizontal="right"/>
    </xf>
    <xf numFmtId="4" fontId="3" fillId="0" borderId="17" xfId="0" applyNumberFormat="1" applyFont="1" applyBorder="1" applyAlignment="1">
      <alignment horizontal="right"/>
    </xf>
    <xf numFmtId="4" fontId="45" fillId="0" borderId="17" xfId="0" applyNumberFormat="1" applyFont="1" applyBorder="1" applyAlignment="1">
      <alignment horizontal="right"/>
    </xf>
    <xf numFmtId="0" fontId="7" fillId="21" borderId="2" xfId="0" applyFont="1" applyFill="1" applyBorder="1" applyAlignment="1">
      <alignment horizontal="right" vertical="top" wrapText="1"/>
    </xf>
    <xf numFmtId="0" fontId="7" fillId="30" borderId="17" xfId="0" applyFont="1" applyFill="1" applyBorder="1" applyAlignment="1">
      <alignment horizontal="right"/>
    </xf>
    <xf numFmtId="0" fontId="7" fillId="0" borderId="17" xfId="0" applyFont="1" applyBorder="1" applyAlignment="1">
      <alignment horizontal="left"/>
    </xf>
    <xf numFmtId="170" fontId="3" fillId="0" borderId="2" xfId="0" applyNumberFormat="1" applyFont="1" applyBorder="1" applyAlignment="1">
      <alignment horizontal="right" wrapText="1"/>
    </xf>
    <xf numFmtId="9" fontId="3" fillId="0" borderId="2" xfId="0" applyNumberFormat="1" applyFont="1" applyBorder="1" applyAlignment="1">
      <alignment horizontal="right" wrapText="1"/>
    </xf>
    <xf numFmtId="9" fontId="3" fillId="30" borderId="2" xfId="0" applyNumberFormat="1" applyFont="1" applyFill="1" applyBorder="1" applyAlignment="1">
      <alignment horizontal="right" wrapText="1"/>
    </xf>
    <xf numFmtId="9" fontId="7" fillId="21" borderId="17" xfId="0" applyNumberFormat="1" applyFont="1" applyFill="1" applyBorder="1" applyAlignment="1">
      <alignment vertical="top" wrapText="1"/>
    </xf>
    <xf numFmtId="9" fontId="45" fillId="21" borderId="2" xfId="0" applyNumberFormat="1" applyFont="1" applyFill="1" applyBorder="1" applyAlignment="1">
      <alignment horizontal="left" vertical="top" wrapText="1"/>
    </xf>
    <xf numFmtId="9" fontId="13" fillId="24" borderId="2" xfId="0" applyNumberFormat="1" applyFont="1" applyFill="1" applyBorder="1" applyAlignment="1">
      <alignment horizontal="left" vertical="top" wrapText="1"/>
    </xf>
    <xf numFmtId="9" fontId="46" fillId="0" borderId="2" xfId="0" applyNumberFormat="1" applyFont="1" applyBorder="1" applyAlignment="1">
      <alignment horizontal="left" vertical="top" wrapText="1"/>
    </xf>
    <xf numFmtId="9" fontId="46" fillId="30" borderId="17" xfId="5" applyNumberFormat="1" applyFont="1" applyFill="1" applyBorder="1" applyAlignment="1">
      <alignment horizontal="right"/>
    </xf>
    <xf numFmtId="9" fontId="13" fillId="24" borderId="2" xfId="0" applyNumberFormat="1" applyFont="1" applyFill="1" applyBorder="1" applyAlignment="1">
      <alignment horizontal="right" vertical="top" wrapText="1"/>
    </xf>
    <xf numFmtId="9" fontId="13" fillId="31" borderId="2" xfId="0" applyNumberFormat="1" applyFont="1" applyFill="1" applyBorder="1" applyAlignment="1">
      <alignment horizontal="right" vertical="top" wrapText="1"/>
    </xf>
    <xf numFmtId="9" fontId="3" fillId="0" borderId="55" xfId="0" applyNumberFormat="1" applyFont="1" applyBorder="1" applyAlignment="1">
      <alignment horizontal="right" wrapText="1"/>
    </xf>
    <xf numFmtId="9" fontId="7" fillId="21" borderId="2" xfId="0" applyNumberFormat="1" applyFont="1" applyFill="1" applyBorder="1" applyAlignment="1">
      <alignment horizontal="right" vertical="top" wrapText="1"/>
    </xf>
    <xf numFmtId="9" fontId="7" fillId="0" borderId="2" xfId="0" applyNumberFormat="1" applyFont="1" applyBorder="1" applyAlignment="1">
      <alignment horizontal="left" vertical="top" wrapText="1"/>
    </xf>
    <xf numFmtId="9" fontId="7" fillId="30" borderId="2" xfId="0" applyNumberFormat="1" applyFont="1" applyFill="1" applyBorder="1" applyAlignment="1">
      <alignment horizontal="left" vertical="top" wrapText="1"/>
    </xf>
    <xf numFmtId="9" fontId="3" fillId="24" borderId="2" xfId="0" applyNumberFormat="1" applyFont="1" applyFill="1" applyBorder="1" applyAlignment="1">
      <alignment horizontal="right" wrapText="1"/>
    </xf>
    <xf numFmtId="9" fontId="7" fillId="21" borderId="2" xfId="0" applyNumberFormat="1" applyFont="1" applyFill="1" applyBorder="1" applyAlignment="1">
      <alignment horizontal="left" vertical="top" wrapText="1"/>
    </xf>
    <xf numFmtId="9" fontId="3" fillId="21" borderId="2" xfId="0" applyNumberFormat="1" applyFont="1" applyFill="1" applyBorder="1" applyAlignment="1">
      <alignment horizontal="right" wrapText="1"/>
    </xf>
    <xf numFmtId="9" fontId="0" fillId="0" borderId="0" xfId="0" applyNumberFormat="1"/>
    <xf numFmtId="9" fontId="45" fillId="24" borderId="80" xfId="5" applyFont="1" applyFill="1" applyBorder="1" applyAlignment="1">
      <alignment horizontal="right"/>
    </xf>
    <xf numFmtId="4" fontId="3" fillId="0" borderId="42" xfId="0" applyNumberFormat="1" applyFont="1" applyBorder="1" applyAlignment="1"/>
    <xf numFmtId="9" fontId="45" fillId="30" borderId="86" xfId="5" applyFont="1" applyFill="1" applyBorder="1" applyAlignment="1">
      <alignment horizontal="right"/>
    </xf>
    <xf numFmtId="9" fontId="3" fillId="21" borderId="48" xfId="0" applyNumberFormat="1" applyFont="1" applyFill="1" applyBorder="1" applyAlignment="1">
      <alignment horizontal="right" wrapText="1"/>
    </xf>
    <xf numFmtId="0" fontId="7" fillId="21" borderId="83" xfId="0" applyFont="1" applyFill="1" applyBorder="1" applyAlignment="1"/>
    <xf numFmtId="0" fontId="7" fillId="21" borderId="88" xfId="0" applyFont="1" applyFill="1" applyBorder="1" applyAlignment="1"/>
    <xf numFmtId="0" fontId="46" fillId="30" borderId="17" xfId="0" applyFont="1" applyFill="1" applyBorder="1" applyAlignment="1">
      <alignment horizontal="right"/>
    </xf>
    <xf numFmtId="4" fontId="46" fillId="24" borderId="53" xfId="0" applyNumberFormat="1" applyFont="1" applyFill="1" applyBorder="1" applyAlignment="1">
      <alignment horizontal="right"/>
    </xf>
    <xf numFmtId="4" fontId="13" fillId="24" borderId="53" xfId="0" applyNumberFormat="1" applyFont="1" applyFill="1" applyBorder="1" applyAlignment="1">
      <alignment horizontal="right"/>
    </xf>
    <xf numFmtId="9" fontId="6" fillId="24" borderId="2" xfId="5" applyFont="1" applyFill="1" applyBorder="1" applyAlignment="1">
      <alignment horizontal="right" vertical="top" wrapText="1"/>
    </xf>
    <xf numFmtId="0" fontId="47" fillId="0" borderId="0" xfId="0" applyFont="1"/>
    <xf numFmtId="43" fontId="7" fillId="0" borderId="17" xfId="1" applyFont="1" applyBorder="1" applyAlignment="1">
      <alignment horizontal="right"/>
    </xf>
    <xf numFmtId="43" fontId="7" fillId="0" borderId="17" xfId="1" applyFont="1" applyBorder="1" applyAlignment="1"/>
    <xf numFmtId="43" fontId="7" fillId="0" borderId="79" xfId="1" applyFont="1" applyBorder="1" applyAlignment="1"/>
    <xf numFmtId="43" fontId="7" fillId="0" borderId="18" xfId="1" applyFont="1" applyBorder="1" applyAlignment="1"/>
    <xf numFmtId="43" fontId="7" fillId="0" borderId="17" xfId="1" applyFont="1" applyBorder="1" applyAlignment="1">
      <alignment horizontal="left"/>
    </xf>
    <xf numFmtId="9" fontId="7" fillId="0" borderId="2" xfId="0" applyNumberFormat="1" applyFont="1" applyBorder="1" applyAlignment="1">
      <alignment horizontal="right" vertical="top" wrapText="1"/>
    </xf>
    <xf numFmtId="43" fontId="46" fillId="0" borderId="17" xfId="0" applyNumberFormat="1" applyFont="1" applyBorder="1" applyAlignment="1">
      <alignment horizontal="left"/>
    </xf>
    <xf numFmtId="9" fontId="46" fillId="0" borderId="2" xfId="0" applyNumberFormat="1" applyFont="1" applyBorder="1" applyAlignment="1">
      <alignment horizontal="right" vertical="top" wrapText="1"/>
    </xf>
    <xf numFmtId="43" fontId="19" fillId="0" borderId="3" xfId="1" applyFont="1" applyFill="1" applyBorder="1" applyAlignment="1" applyProtection="1">
      <alignment horizontal="center" vertical="center" wrapText="1"/>
      <protection locked="0"/>
    </xf>
    <xf numFmtId="0" fontId="3" fillId="0" borderId="0" xfId="0" applyFont="1"/>
    <xf numFmtId="9" fontId="46" fillId="21" borderId="17" xfId="5" applyFont="1" applyFill="1" applyBorder="1" applyAlignment="1">
      <alignment horizontal="center"/>
    </xf>
    <xf numFmtId="43" fontId="5" fillId="0" borderId="53" xfId="1" applyFont="1" applyBorder="1" applyAlignment="1">
      <alignment horizontal="center" vertical="top"/>
    </xf>
    <xf numFmtId="0" fontId="12" fillId="8" borderId="0" xfId="0" applyFont="1" applyFill="1" applyBorder="1" applyAlignment="1">
      <alignment horizontal="left"/>
    </xf>
    <xf numFmtId="0" fontId="40" fillId="26" borderId="57" xfId="0" applyFont="1" applyFill="1" applyBorder="1" applyAlignment="1">
      <alignment horizontal="left"/>
    </xf>
    <xf numFmtId="43" fontId="12" fillId="26" borderId="57" xfId="1" applyFont="1" applyFill="1" applyBorder="1" applyAlignment="1">
      <alignment horizontal="left"/>
    </xf>
    <xf numFmtId="43" fontId="12" fillId="26" borderId="57" xfId="0" applyNumberFormat="1" applyFont="1" applyFill="1" applyBorder="1" applyAlignment="1">
      <alignment horizontal="left"/>
    </xf>
    <xf numFmtId="43" fontId="12" fillId="8" borderId="4" xfId="1" applyFont="1" applyFill="1" applyBorder="1" applyAlignment="1">
      <alignment horizontal="left"/>
    </xf>
    <xf numFmtId="0" fontId="12" fillId="0" borderId="3" xfId="0" applyFont="1" applyBorder="1" applyAlignment="1">
      <alignment horizontal="left" vertical="top"/>
    </xf>
    <xf numFmtId="0" fontId="22" fillId="0" borderId="3" xfId="0" applyFont="1" applyBorder="1" applyAlignment="1">
      <alignment vertical="top" wrapText="1"/>
    </xf>
    <xf numFmtId="4" fontId="42" fillId="0" borderId="0" xfId="0" applyNumberFormat="1" applyFont="1"/>
    <xf numFmtId="43" fontId="42" fillId="0" borderId="0" xfId="0" applyNumberFormat="1" applyFont="1"/>
    <xf numFmtId="0" fontId="3" fillId="0" borderId="0" xfId="0" applyFont="1" applyAlignment="1">
      <alignment horizontal="center"/>
    </xf>
    <xf numFmtId="0" fontId="3" fillId="6" borderId="0" xfId="0" applyFont="1" applyFill="1"/>
    <xf numFmtId="49" fontId="48" fillId="11" borderId="9" xfId="0" applyNumberFormat="1" applyFont="1" applyFill="1" applyBorder="1" applyAlignment="1">
      <alignment horizontal="center" vertical="center" wrapText="1"/>
    </xf>
    <xf numFmtId="43" fontId="48" fillId="11" borderId="9" xfId="1" applyFont="1" applyFill="1" applyBorder="1" applyAlignment="1">
      <alignment horizontal="center" vertical="center" wrapText="1"/>
    </xf>
    <xf numFmtId="0" fontId="48" fillId="11" borderId="9" xfId="0" applyFont="1" applyFill="1" applyBorder="1" applyAlignment="1">
      <alignment horizontal="center" vertical="center" wrapText="1"/>
    </xf>
    <xf numFmtId="43" fontId="48" fillId="11" borderId="9" xfId="1" applyFont="1" applyFill="1" applyBorder="1" applyAlignment="1">
      <alignment horizontal="center" wrapText="1"/>
    </xf>
    <xf numFmtId="4" fontId="48" fillId="11" borderId="9" xfId="2" applyNumberFormat="1" applyFont="1" applyFill="1" applyBorder="1" applyAlignment="1">
      <alignment horizontal="center" vertical="center" wrapText="1"/>
    </xf>
    <xf numFmtId="49" fontId="28" fillId="11" borderId="9" xfId="0" applyNumberFormat="1" applyFont="1" applyFill="1" applyBorder="1" applyAlignment="1" applyProtection="1">
      <alignment horizontal="center" vertical="center" wrapText="1"/>
      <protection locked="0"/>
    </xf>
    <xf numFmtId="49" fontId="48" fillId="11" borderId="9" xfId="0" applyNumberFormat="1" applyFont="1" applyFill="1" applyBorder="1" applyAlignment="1">
      <alignment vertical="top" wrapText="1"/>
    </xf>
    <xf numFmtId="49" fontId="28" fillId="11" borderId="9" xfId="0" applyNumberFormat="1" applyFont="1" applyFill="1" applyBorder="1" applyAlignment="1" applyProtection="1">
      <alignment horizontal="center" vertical="center"/>
      <protection locked="0"/>
    </xf>
    <xf numFmtId="167" fontId="48" fillId="11" borderId="9" xfId="0" applyNumberFormat="1" applyFont="1" applyFill="1" applyBorder="1" applyAlignment="1">
      <alignment horizontal="center" vertical="center" wrapText="1"/>
    </xf>
    <xf numFmtId="49" fontId="28" fillId="11" borderId="62" xfId="0" applyNumberFormat="1" applyFont="1" applyFill="1" applyBorder="1" applyAlignment="1" applyProtection="1">
      <alignment horizontal="center" vertical="center"/>
      <protection locked="0"/>
    </xf>
    <xf numFmtId="167" fontId="48" fillId="11" borderId="3" xfId="0" applyNumberFormat="1" applyFont="1" applyFill="1" applyBorder="1" applyAlignment="1">
      <alignment horizontal="center" vertical="center" wrapText="1"/>
    </xf>
    <xf numFmtId="43" fontId="38" fillId="0" borderId="9" xfId="1" applyFont="1" applyBorder="1" applyAlignment="1">
      <alignment horizontal="center"/>
    </xf>
    <xf numFmtId="49" fontId="48" fillId="12" borderId="9" xfId="0" applyNumberFormat="1" applyFont="1" applyFill="1" applyBorder="1" applyAlignment="1">
      <alignment vertical="top" wrapText="1"/>
    </xf>
    <xf numFmtId="15" fontId="49" fillId="0" borderId="9" xfId="0" applyNumberFormat="1" applyFont="1" applyFill="1" applyBorder="1"/>
    <xf numFmtId="168" fontId="37" fillId="0" borderId="9" xfId="1" applyNumberFormat="1" applyFont="1" applyFill="1" applyBorder="1" applyAlignment="1">
      <alignment horizontal="center" vertical="center"/>
    </xf>
    <xf numFmtId="168" fontId="37" fillId="0" borderId="9" xfId="0" applyNumberFormat="1" applyFont="1" applyFill="1" applyBorder="1" applyAlignment="1">
      <alignment horizontal="center" vertical="center"/>
    </xf>
    <xf numFmtId="168" fontId="37" fillId="0" borderId="62" xfId="0" applyNumberFormat="1" applyFont="1" applyFill="1" applyBorder="1" applyAlignment="1">
      <alignment horizontal="center" vertical="center"/>
    </xf>
    <xf numFmtId="168" fontId="37" fillId="0" borderId="3" xfId="0" applyNumberFormat="1" applyFont="1" applyFill="1" applyBorder="1" applyAlignment="1">
      <alignment horizontal="center" vertical="center"/>
    </xf>
    <xf numFmtId="167" fontId="48" fillId="0" borderId="9" xfId="0" applyNumberFormat="1" applyFont="1" applyFill="1" applyBorder="1" applyAlignment="1" applyProtection="1">
      <alignment horizontal="center" vertical="center" wrapText="1"/>
      <protection locked="0"/>
    </xf>
    <xf numFmtId="49" fontId="48" fillId="0" borderId="9" xfId="0" applyNumberFormat="1" applyFont="1" applyFill="1" applyBorder="1" applyAlignment="1" applyProtection="1">
      <alignment horizontal="left" vertical="center"/>
      <protection locked="0"/>
    </xf>
    <xf numFmtId="167" fontId="48" fillId="0" borderId="9" xfId="0" applyNumberFormat="1" applyFont="1" applyFill="1" applyBorder="1" applyAlignment="1">
      <alignment horizontal="center" vertical="center" wrapText="1"/>
    </xf>
    <xf numFmtId="167" fontId="48" fillId="0" borderId="62" xfId="0" applyNumberFormat="1" applyFont="1" applyFill="1" applyBorder="1" applyAlignment="1">
      <alignment horizontal="center" vertical="center" wrapText="1"/>
    </xf>
    <xf numFmtId="167" fontId="48" fillId="0" borderId="3" xfId="0" applyNumberFormat="1" applyFont="1" applyFill="1" applyBorder="1" applyAlignment="1">
      <alignment horizontal="center" vertical="center" wrapText="1"/>
    </xf>
    <xf numFmtId="168" fontId="48" fillId="13" borderId="9" xfId="0" applyNumberFormat="1" applyFont="1" applyFill="1" applyBorder="1" applyAlignment="1">
      <alignment horizontal="right" vertical="center" wrapText="1"/>
    </xf>
    <xf numFmtId="168" fontId="37" fillId="13" borderId="9" xfId="1" applyNumberFormat="1" applyFont="1" applyFill="1" applyBorder="1" applyAlignment="1">
      <alignment horizontal="center" vertical="center"/>
    </xf>
    <xf numFmtId="167" fontId="48" fillId="13" borderId="9" xfId="0" applyNumberFormat="1" applyFont="1" applyFill="1" applyBorder="1" applyAlignment="1">
      <alignment horizontal="center" vertical="center" wrapText="1"/>
    </xf>
    <xf numFmtId="0" fontId="3" fillId="0" borderId="3" xfId="0" applyFont="1" applyBorder="1" applyAlignment="1">
      <alignment horizontal="center"/>
    </xf>
    <xf numFmtId="0" fontId="3" fillId="0" borderId="9" xfId="0" applyFont="1" applyBorder="1"/>
    <xf numFmtId="0" fontId="3" fillId="0" borderId="62" xfId="0" applyFont="1" applyBorder="1" applyAlignment="1">
      <alignment horizontal="center"/>
    </xf>
    <xf numFmtId="0" fontId="3" fillId="0" borderId="3" xfId="0" applyFont="1" applyBorder="1"/>
    <xf numFmtId="0" fontId="28" fillId="0" borderId="9" xfId="0" applyFont="1" applyBorder="1"/>
    <xf numFmtId="15" fontId="3" fillId="0" borderId="3" xfId="0" applyNumberFormat="1" applyFont="1" applyBorder="1" applyAlignment="1">
      <alignment horizontal="center"/>
    </xf>
    <xf numFmtId="15" fontId="3" fillId="13" borderId="9" xfId="0" applyNumberFormat="1" applyFont="1" applyFill="1" applyBorder="1"/>
    <xf numFmtId="168" fontId="3" fillId="13" borderId="9" xfId="0" applyNumberFormat="1" applyFont="1" applyFill="1" applyBorder="1" applyAlignment="1">
      <alignment horizontal="center"/>
    </xf>
    <xf numFmtId="15" fontId="3" fillId="0" borderId="62" xfId="0" applyNumberFormat="1" applyFont="1" applyBorder="1" applyAlignment="1">
      <alignment horizontal="center"/>
    </xf>
    <xf numFmtId="168" fontId="3" fillId="0" borderId="3" xfId="0" applyNumberFormat="1" applyFont="1" applyBorder="1" applyAlignment="1">
      <alignment horizontal="center"/>
    </xf>
    <xf numFmtId="49" fontId="48" fillId="12" borderId="10" xfId="0" applyNumberFormat="1" applyFont="1" applyFill="1" applyBorder="1" applyAlignment="1">
      <alignment vertical="top" wrapText="1"/>
    </xf>
    <xf numFmtId="167" fontId="48" fillId="13" borderId="10" xfId="0" applyNumberFormat="1" applyFont="1" applyFill="1" applyBorder="1" applyAlignment="1">
      <alignment horizontal="center" vertical="center" wrapText="1"/>
    </xf>
    <xf numFmtId="49" fontId="48" fillId="12" borderId="12" xfId="0" applyNumberFormat="1" applyFont="1" applyFill="1" applyBorder="1" applyAlignment="1">
      <alignment vertical="top" wrapText="1"/>
    </xf>
    <xf numFmtId="15" fontId="49" fillId="0" borderId="12" xfId="0" applyNumberFormat="1" applyFont="1" applyFill="1" applyBorder="1"/>
    <xf numFmtId="168" fontId="37" fillId="0" borderId="12" xfId="1" applyNumberFormat="1" applyFont="1" applyFill="1" applyBorder="1" applyAlignment="1">
      <alignment horizontal="center" vertical="center"/>
    </xf>
    <xf numFmtId="168" fontId="37" fillId="0" borderId="12" xfId="0" applyNumberFormat="1" applyFont="1" applyFill="1" applyBorder="1" applyAlignment="1">
      <alignment horizontal="center" vertical="center"/>
    </xf>
    <xf numFmtId="168" fontId="37" fillId="0" borderId="64" xfId="0" applyNumberFormat="1" applyFont="1" applyFill="1" applyBorder="1" applyAlignment="1">
      <alignment horizontal="center" vertical="center"/>
    </xf>
    <xf numFmtId="168" fontId="3" fillId="0" borderId="9" xfId="0" applyNumberFormat="1" applyFont="1" applyBorder="1" applyAlignment="1">
      <alignment horizontal="center"/>
    </xf>
    <xf numFmtId="0" fontId="3" fillId="19" borderId="0" xfId="0" applyFont="1" applyFill="1"/>
    <xf numFmtId="0" fontId="3" fillId="16" borderId="0" xfId="0" applyFont="1" applyFill="1"/>
    <xf numFmtId="43" fontId="3" fillId="0" borderId="0" xfId="0" applyNumberFormat="1" applyFont="1"/>
    <xf numFmtId="15" fontId="3" fillId="0" borderId="9" xfId="0" applyNumberFormat="1" applyFont="1" applyBorder="1"/>
    <xf numFmtId="165" fontId="49" fillId="16" borderId="8" xfId="1" applyNumberFormat="1" applyFont="1" applyFill="1" applyBorder="1" applyAlignment="1">
      <alignment horizontal="center" vertical="center" wrapText="1"/>
    </xf>
    <xf numFmtId="0" fontId="49" fillId="16" borderId="9" xfId="0" applyFont="1" applyFill="1" applyBorder="1" applyAlignment="1">
      <alignment horizontal="center" vertical="center" wrapText="1"/>
    </xf>
    <xf numFmtId="0" fontId="49" fillId="16" borderId="11" xfId="0" applyFont="1" applyFill="1" applyBorder="1" applyAlignment="1">
      <alignment horizontal="center" vertical="center" wrapText="1"/>
    </xf>
    <xf numFmtId="49" fontId="48" fillId="16" borderId="9" xfId="0" applyNumberFormat="1" applyFont="1" applyFill="1" applyBorder="1" applyAlignment="1">
      <alignment vertical="top" wrapText="1"/>
    </xf>
    <xf numFmtId="15" fontId="3" fillId="16" borderId="9" xfId="0" applyNumberFormat="1" applyFont="1" applyFill="1" applyBorder="1"/>
    <xf numFmtId="168" fontId="3" fillId="16" borderId="9" xfId="0" applyNumberFormat="1" applyFont="1" applyFill="1" applyBorder="1" applyAlignment="1">
      <alignment horizontal="center"/>
    </xf>
    <xf numFmtId="168" fontId="37" fillId="16" borderId="9" xfId="0" applyNumberFormat="1" applyFont="1" applyFill="1" applyBorder="1" applyAlignment="1">
      <alignment horizontal="center" vertical="center"/>
    </xf>
    <xf numFmtId="167" fontId="48" fillId="16" borderId="9" xfId="0" applyNumberFormat="1" applyFont="1" applyFill="1" applyBorder="1" applyAlignment="1">
      <alignment horizontal="center" vertical="center" wrapText="1"/>
    </xf>
    <xf numFmtId="15" fontId="3" fillId="16" borderId="3" xfId="0" applyNumberFormat="1" applyFont="1" applyFill="1" applyBorder="1" applyAlignment="1">
      <alignment horizontal="center"/>
    </xf>
    <xf numFmtId="0" fontId="3" fillId="16" borderId="3" xfId="0" applyFont="1" applyFill="1" applyBorder="1" applyAlignment="1">
      <alignment horizontal="center"/>
    </xf>
    <xf numFmtId="43" fontId="3" fillId="16" borderId="3" xfId="1" applyFont="1" applyFill="1" applyBorder="1"/>
    <xf numFmtId="43" fontId="3" fillId="0" borderId="0" xfId="1" applyFont="1" applyAlignment="1">
      <alignment horizontal="center"/>
    </xf>
    <xf numFmtId="0" fontId="3" fillId="0" borderId="0" xfId="0" applyFont="1" applyAlignment="1">
      <alignment vertical="top"/>
    </xf>
    <xf numFmtId="43" fontId="3" fillId="0" borderId="3" xfId="1" applyFont="1" applyBorder="1"/>
    <xf numFmtId="43" fontId="3" fillId="3" borderId="0" xfId="1" applyFont="1" applyFill="1" applyAlignment="1"/>
    <xf numFmtId="43" fontId="3" fillId="0" borderId="0" xfId="1" applyFont="1"/>
    <xf numFmtId="0" fontId="3" fillId="0" borderId="90" xfId="0" applyFont="1" applyBorder="1"/>
    <xf numFmtId="165" fontId="3" fillId="0" borderId="0" xfId="1" applyNumberFormat="1" applyFont="1"/>
    <xf numFmtId="165" fontId="3" fillId="16" borderId="0" xfId="1" applyNumberFormat="1" applyFont="1" applyFill="1"/>
    <xf numFmtId="49" fontId="48" fillId="11" borderId="8" xfId="0" applyNumberFormat="1" applyFont="1" applyFill="1" applyBorder="1" applyAlignment="1" applyProtection="1">
      <alignment horizontal="center" vertical="center" wrapText="1"/>
      <protection locked="0"/>
    </xf>
    <xf numFmtId="165" fontId="3" fillId="0" borderId="89" xfId="1" applyNumberFormat="1" applyFont="1" applyBorder="1"/>
    <xf numFmtId="0" fontId="3" fillId="0" borderId="23" xfId="0" applyFont="1" applyBorder="1"/>
    <xf numFmtId="0" fontId="3" fillId="0" borderId="94" xfId="0" applyFont="1" applyBorder="1"/>
    <xf numFmtId="165" fontId="3" fillId="0" borderId="24" xfId="1" applyNumberFormat="1" applyFont="1" applyBorder="1"/>
    <xf numFmtId="0" fontId="3" fillId="0" borderId="26" xfId="0" applyFont="1" applyBorder="1"/>
    <xf numFmtId="43" fontId="3" fillId="0" borderId="25" xfId="0" applyNumberFormat="1" applyFont="1" applyBorder="1"/>
    <xf numFmtId="43" fontId="3" fillId="0" borderId="50" xfId="0" applyNumberFormat="1" applyFont="1" applyBorder="1"/>
    <xf numFmtId="165" fontId="3" fillId="0" borderId="91" xfId="1" applyNumberFormat="1" applyFont="1" applyBorder="1"/>
    <xf numFmtId="0" fontId="3" fillId="0" borderId="92" xfId="0" applyFont="1" applyBorder="1"/>
    <xf numFmtId="0" fontId="3" fillId="0" borderId="95" xfId="0" applyFont="1" applyBorder="1"/>
    <xf numFmtId="0" fontId="3" fillId="0" borderId="93" xfId="0" applyFont="1" applyBorder="1"/>
    <xf numFmtId="0" fontId="3" fillId="16" borderId="8" xfId="0" applyFont="1" applyFill="1" applyBorder="1" applyAlignment="1">
      <alignment horizontal="center"/>
    </xf>
    <xf numFmtId="43" fontId="3" fillId="16" borderId="8" xfId="0" applyNumberFormat="1" applyFont="1" applyFill="1" applyBorder="1" applyAlignment="1">
      <alignment horizontal="center"/>
    </xf>
    <xf numFmtId="43" fontId="48" fillId="11" borderId="3" xfId="1" applyFont="1" applyFill="1" applyBorder="1" applyAlignment="1" applyProtection="1">
      <alignment horizontal="center" vertical="center" wrapText="1"/>
      <protection locked="0"/>
    </xf>
    <xf numFmtId="4" fontId="3" fillId="0" borderId="10" xfId="0" applyNumberFormat="1" applyFont="1" applyBorder="1" applyAlignment="1">
      <alignment vertical="top" wrapText="1"/>
    </xf>
    <xf numFmtId="43" fontId="37" fillId="0" borderId="3" xfId="1" applyFont="1" applyFill="1" applyBorder="1" applyAlignment="1">
      <alignment horizontal="center" vertical="center" wrapText="1"/>
    </xf>
    <xf numFmtId="4" fontId="3" fillId="0" borderId="11" xfId="0" applyNumberFormat="1" applyFont="1" applyBorder="1" applyAlignment="1">
      <alignment vertical="top" wrapText="1"/>
    </xf>
    <xf numFmtId="43" fontId="48" fillId="0" borderId="3" xfId="1" applyFont="1" applyFill="1" applyBorder="1" applyAlignment="1" applyProtection="1">
      <alignment horizontal="center" vertical="center" wrapText="1"/>
      <protection locked="0"/>
    </xf>
    <xf numFmtId="4" fontId="3" fillId="0" borderId="12" xfId="0" applyNumberFormat="1" applyFont="1" applyBorder="1" applyAlignment="1">
      <alignment vertical="top" wrapText="1"/>
    </xf>
    <xf numFmtId="4" fontId="3" fillId="13" borderId="10" xfId="0" applyNumberFormat="1" applyFont="1" applyFill="1" applyBorder="1" applyAlignment="1"/>
    <xf numFmtId="4" fontId="3" fillId="13" borderId="11" xfId="0" applyNumberFormat="1" applyFont="1" applyFill="1" applyBorder="1" applyAlignment="1"/>
    <xf numFmtId="4" fontId="3" fillId="13" borderId="12" xfId="0" applyNumberFormat="1" applyFont="1" applyFill="1" applyBorder="1" applyAlignment="1"/>
    <xf numFmtId="4" fontId="3" fillId="0" borderId="12" xfId="0" applyNumberFormat="1" applyFont="1" applyBorder="1" applyAlignment="1"/>
    <xf numFmtId="4" fontId="3" fillId="0" borderId="11" xfId="0" applyNumberFormat="1" applyFont="1" applyBorder="1" applyAlignment="1"/>
    <xf numFmtId="4" fontId="3" fillId="16" borderId="8" xfId="0" applyNumberFormat="1" applyFont="1" applyFill="1" applyBorder="1" applyAlignment="1">
      <alignment horizontal="center"/>
    </xf>
    <xf numFmtId="43" fontId="3" fillId="16" borderId="8" xfId="1" applyFont="1" applyFill="1" applyBorder="1" applyAlignment="1">
      <alignment horizontal="center"/>
    </xf>
    <xf numFmtId="0" fontId="7" fillId="8" borderId="13" xfId="0" applyFont="1" applyFill="1" applyBorder="1" applyAlignment="1">
      <alignment horizontal="center"/>
    </xf>
    <xf numFmtId="0" fontId="7" fillId="8" borderId="22" xfId="0" applyFont="1" applyFill="1" applyBorder="1" applyAlignment="1">
      <alignment horizontal="center"/>
    </xf>
    <xf numFmtId="43" fontId="7" fillId="8" borderId="22" xfId="0" applyNumberFormat="1" applyFont="1" applyFill="1" applyBorder="1" applyAlignment="1">
      <alignment horizontal="center"/>
    </xf>
    <xf numFmtId="4" fontId="7" fillId="8" borderId="22" xfId="0" applyNumberFormat="1" applyFont="1" applyFill="1" applyBorder="1" applyAlignment="1">
      <alignment horizontal="center"/>
    </xf>
    <xf numFmtId="0" fontId="7" fillId="8" borderId="61" xfId="0" applyFont="1" applyFill="1" applyBorder="1" applyAlignment="1">
      <alignment horizontal="center"/>
    </xf>
    <xf numFmtId="0" fontId="7" fillId="8" borderId="0" xfId="0" applyFont="1" applyFill="1" applyBorder="1" applyAlignment="1">
      <alignment horizontal="center"/>
    </xf>
    <xf numFmtId="43" fontId="7" fillId="8" borderId="0" xfId="1" applyFont="1" applyFill="1" applyBorder="1" applyAlignment="1">
      <alignment horizontal="center"/>
    </xf>
    <xf numFmtId="165" fontId="49" fillId="23" borderId="3" xfId="1" applyNumberFormat="1" applyFont="1" applyFill="1" applyBorder="1" applyAlignment="1">
      <alignment horizontal="center" vertical="center" wrapText="1"/>
    </xf>
    <xf numFmtId="43" fontId="5" fillId="23" borderId="3" xfId="1" applyFont="1" applyFill="1" applyBorder="1" applyAlignment="1">
      <alignment horizontal="left" vertical="center" wrapText="1"/>
    </xf>
    <xf numFmtId="0" fontId="49" fillId="23" borderId="3" xfId="0" applyFont="1" applyFill="1" applyBorder="1" applyAlignment="1">
      <alignment horizontal="center" vertical="center" wrapText="1"/>
    </xf>
    <xf numFmtId="43" fontId="29" fillId="23" borderId="3" xfId="1" applyFont="1" applyFill="1" applyBorder="1" applyAlignment="1">
      <alignment horizontal="center" vertical="center"/>
    </xf>
    <xf numFmtId="49" fontId="48" fillId="23" borderId="3" xfId="0" applyNumberFormat="1" applyFont="1" applyFill="1" applyBorder="1" applyAlignment="1">
      <alignment vertical="top" wrapText="1"/>
    </xf>
    <xf numFmtId="15" fontId="3" fillId="23" borderId="3" xfId="0" applyNumberFormat="1" applyFont="1" applyFill="1" applyBorder="1"/>
    <xf numFmtId="168" fontId="3" fillId="23" borderId="3" xfId="0" applyNumberFormat="1" applyFont="1" applyFill="1" applyBorder="1" applyAlignment="1">
      <alignment horizontal="center"/>
    </xf>
    <xf numFmtId="168" fontId="37" fillId="23" borderId="3" xfId="0" applyNumberFormat="1" applyFont="1" applyFill="1" applyBorder="1" applyAlignment="1">
      <alignment horizontal="center" vertical="center"/>
    </xf>
    <xf numFmtId="167" fontId="48" fillId="23" borderId="3" xfId="0" applyNumberFormat="1" applyFont="1" applyFill="1" applyBorder="1" applyAlignment="1">
      <alignment horizontal="center" vertical="center" wrapText="1"/>
    </xf>
    <xf numFmtId="4" fontId="3" fillId="23" borderId="3" xfId="0" applyNumberFormat="1" applyFont="1" applyFill="1" applyBorder="1" applyAlignment="1">
      <alignment horizontal="center"/>
    </xf>
    <xf numFmtId="15" fontId="3" fillId="23" borderId="3" xfId="0" applyNumberFormat="1" applyFont="1" applyFill="1" applyBorder="1" applyAlignment="1">
      <alignment horizontal="center"/>
    </xf>
    <xf numFmtId="43" fontId="3" fillId="23" borderId="27" xfId="1" applyFont="1" applyFill="1" applyBorder="1"/>
    <xf numFmtId="0" fontId="3" fillId="27" borderId="0" xfId="0" applyFont="1" applyFill="1"/>
    <xf numFmtId="43" fontId="3" fillId="27" borderId="0" xfId="1" applyFont="1" applyFill="1" applyAlignment="1">
      <alignment horizontal="center"/>
    </xf>
    <xf numFmtId="43" fontId="3" fillId="27" borderId="0" xfId="1" applyFont="1" applyFill="1" applyAlignment="1"/>
    <xf numFmtId="0" fontId="3" fillId="27" borderId="0" xfId="0" applyFont="1" applyFill="1" applyAlignment="1">
      <alignment vertical="top"/>
    </xf>
    <xf numFmtId="43" fontId="3" fillId="27" borderId="0" xfId="1" applyFont="1" applyFill="1"/>
    <xf numFmtId="43" fontId="51" fillId="8" borderId="3" xfId="1" applyFont="1" applyFill="1" applyBorder="1" applyAlignment="1">
      <alignment horizontal="left" vertical="center" wrapText="1"/>
    </xf>
    <xf numFmtId="165" fontId="49" fillId="16" borderId="13" xfId="1" applyNumberFormat="1" applyFont="1" applyFill="1" applyBorder="1" applyAlignment="1">
      <alignment horizontal="center" vertical="center" wrapText="1"/>
    </xf>
    <xf numFmtId="0" fontId="49" fillId="16" borderId="22" xfId="0" applyFont="1" applyFill="1" applyBorder="1" applyAlignment="1">
      <alignment horizontal="center" vertical="center" wrapText="1"/>
    </xf>
    <xf numFmtId="0" fontId="49" fillId="16" borderId="71" xfId="0" applyFont="1" applyFill="1" applyBorder="1" applyAlignment="1">
      <alignment horizontal="center" vertical="center" wrapText="1"/>
    </xf>
    <xf numFmtId="49" fontId="48" fillId="16" borderId="22" xfId="0" applyNumberFormat="1" applyFont="1" applyFill="1" applyBorder="1" applyAlignment="1">
      <alignment vertical="top" wrapText="1"/>
    </xf>
    <xf numFmtId="15" fontId="3" fillId="16" borderId="22" xfId="0" applyNumberFormat="1" applyFont="1" applyFill="1" applyBorder="1"/>
    <xf numFmtId="168" fontId="3" fillId="16" borderId="22" xfId="0" applyNumberFormat="1" applyFont="1" applyFill="1" applyBorder="1" applyAlignment="1">
      <alignment horizontal="center"/>
    </xf>
    <xf numFmtId="168" fontId="37" fillId="16" borderId="22" xfId="0" applyNumberFormat="1" applyFont="1" applyFill="1" applyBorder="1" applyAlignment="1">
      <alignment horizontal="center" vertical="center"/>
    </xf>
    <xf numFmtId="167" fontId="48" fillId="16" borderId="22" xfId="0" applyNumberFormat="1" applyFont="1" applyFill="1" applyBorder="1" applyAlignment="1">
      <alignment horizontal="center" vertical="center" wrapText="1"/>
    </xf>
    <xf numFmtId="4" fontId="3" fillId="16" borderId="71" xfId="0" applyNumberFormat="1" applyFont="1" applyFill="1" applyBorder="1" applyAlignment="1"/>
    <xf numFmtId="168" fontId="37" fillId="16" borderId="61" xfId="0" applyNumberFormat="1" applyFont="1" applyFill="1" applyBorder="1" applyAlignment="1">
      <alignment horizontal="center" vertical="center"/>
    </xf>
    <xf numFmtId="15" fontId="3" fillId="16" borderId="0" xfId="0" applyNumberFormat="1" applyFont="1" applyFill="1" applyBorder="1" applyAlignment="1">
      <alignment horizontal="center"/>
    </xf>
    <xf numFmtId="43" fontId="3" fillId="16" borderId="0" xfId="1" applyFont="1" applyFill="1" applyBorder="1"/>
    <xf numFmtId="4" fontId="3" fillId="16" borderId="11" xfId="0" applyNumberFormat="1" applyFont="1" applyFill="1" applyBorder="1" applyAlignment="1"/>
    <xf numFmtId="168" fontId="37" fillId="16" borderId="62" xfId="0" applyNumberFormat="1" applyFont="1" applyFill="1" applyBorder="1" applyAlignment="1">
      <alignment horizontal="center" vertical="center"/>
    </xf>
    <xf numFmtId="43" fontId="3" fillId="16" borderId="0" xfId="0" applyNumberFormat="1" applyFont="1" applyFill="1"/>
    <xf numFmtId="43" fontId="49" fillId="16" borderId="9" xfId="0" applyNumberFormat="1" applyFont="1" applyFill="1" applyBorder="1" applyAlignment="1">
      <alignment horizontal="center" vertical="center" wrapText="1"/>
    </xf>
    <xf numFmtId="43" fontId="3" fillId="16" borderId="27" xfId="1" applyFont="1" applyFill="1" applyBorder="1"/>
    <xf numFmtId="0" fontId="24" fillId="5" borderId="3" xfId="0" applyFont="1" applyFill="1" applyBorder="1"/>
    <xf numFmtId="0" fontId="23" fillId="0" borderId="0" xfId="0" applyFont="1"/>
    <xf numFmtId="0" fontId="24" fillId="5" borderId="0" xfId="0" applyFont="1" applyFill="1"/>
    <xf numFmtId="0" fontId="16" fillId="3" borderId="3" xfId="0" applyFont="1" applyFill="1" applyBorder="1" applyAlignment="1"/>
    <xf numFmtId="43" fontId="20" fillId="3" borderId="3" xfId="0" applyNumberFormat="1" applyFont="1" applyFill="1" applyBorder="1" applyAlignment="1"/>
    <xf numFmtId="0" fontId="16" fillId="3" borderId="5" xfId="0" applyFont="1" applyFill="1" applyBorder="1" applyAlignment="1"/>
    <xf numFmtId="0" fontId="46" fillId="0" borderId="3" xfId="0" applyFont="1" applyBorder="1"/>
    <xf numFmtId="0" fontId="20" fillId="0" borderId="3" xfId="0" applyFont="1" applyBorder="1"/>
    <xf numFmtId="43" fontId="20" fillId="0" borderId="3" xfId="1" applyFont="1" applyBorder="1" applyAlignment="1">
      <alignment horizontal="center"/>
    </xf>
    <xf numFmtId="43" fontId="20" fillId="0" borderId="3" xfId="0" applyNumberFormat="1" applyFont="1" applyBorder="1"/>
    <xf numFmtId="0" fontId="20" fillId="0" borderId="3" xfId="0" applyFont="1" applyBorder="1" applyAlignment="1">
      <alignment vertical="top"/>
    </xf>
    <xf numFmtId="0" fontId="20" fillId="0" borderId="3" xfId="0" applyFont="1" applyBorder="1" applyAlignment="1">
      <alignment horizontal="center"/>
    </xf>
    <xf numFmtId="0" fontId="43" fillId="0" borderId="1" xfId="0" applyFont="1" applyBorder="1" applyAlignment="1">
      <alignment horizontal="left" vertical="top"/>
    </xf>
    <xf numFmtId="0" fontId="22" fillId="15" borderId="1" xfId="0" applyFont="1" applyFill="1" applyBorder="1" applyAlignment="1">
      <alignment horizontal="left" vertical="top"/>
    </xf>
    <xf numFmtId="165" fontId="22" fillId="15" borderId="53" xfId="0" applyNumberFormat="1" applyFont="1" applyFill="1" applyBorder="1" applyAlignment="1">
      <alignment horizontal="center" vertical="top"/>
    </xf>
    <xf numFmtId="43" fontId="42" fillId="0" borderId="1" xfId="0" applyNumberFormat="1" applyFont="1" applyBorder="1"/>
    <xf numFmtId="0" fontId="22" fillId="0" borderId="3" xfId="0" applyFont="1" applyFill="1" applyBorder="1" applyAlignment="1">
      <alignment horizontal="left" vertical="top"/>
    </xf>
    <xf numFmtId="0" fontId="22" fillId="0" borderId="53" xfId="0" applyFont="1" applyFill="1" applyBorder="1" applyAlignment="1">
      <alignment horizontal="left" vertical="top"/>
    </xf>
    <xf numFmtId="43" fontId="22" fillId="0" borderId="53" xfId="1" applyFont="1" applyFill="1" applyBorder="1" applyAlignment="1">
      <alignment horizontal="left"/>
    </xf>
    <xf numFmtId="0" fontId="42" fillId="0" borderId="0" xfId="0" applyFont="1" applyFill="1" applyAlignment="1">
      <alignment wrapText="1"/>
    </xf>
    <xf numFmtId="0" fontId="42" fillId="0" borderId="0" xfId="0" applyFont="1" applyFill="1"/>
    <xf numFmtId="43" fontId="22" fillId="23" borderId="53" xfId="0" applyNumberFormat="1" applyFont="1" applyFill="1" applyBorder="1" applyAlignment="1">
      <alignment horizontal="center" vertical="center"/>
    </xf>
    <xf numFmtId="43" fontId="22" fillId="0" borderId="53" xfId="1" applyFont="1" applyFill="1" applyBorder="1" applyAlignment="1">
      <alignment horizontal="center" vertical="top"/>
    </xf>
    <xf numFmtId="0" fontId="22" fillId="16" borderId="5" xfId="0" applyFont="1" applyFill="1" applyBorder="1" applyAlignment="1">
      <alignment horizontal="left" vertical="top"/>
    </xf>
    <xf numFmtId="0" fontId="22" fillId="0" borderId="53" xfId="0" applyFont="1" applyFill="1" applyBorder="1" applyAlignment="1">
      <alignment horizontal="center" vertical="top"/>
    </xf>
    <xf numFmtId="43" fontId="12" fillId="26" borderId="3" xfId="1" applyFont="1" applyFill="1" applyBorder="1" applyAlignment="1">
      <alignment horizontal="left" vertical="top"/>
    </xf>
    <xf numFmtId="43" fontId="12" fillId="5" borderId="3" xfId="1" applyFont="1" applyFill="1" applyBorder="1" applyAlignment="1">
      <alignment horizontal="left" vertical="top"/>
    </xf>
    <xf numFmtId="43" fontId="12" fillId="0" borderId="3" xfId="1" applyFont="1" applyFill="1" applyBorder="1" applyAlignment="1">
      <alignment horizontal="left" vertical="top"/>
    </xf>
    <xf numFmtId="43" fontId="43" fillId="0" borderId="3" xfId="1" applyFont="1" applyFill="1" applyBorder="1" applyAlignment="1">
      <alignment horizontal="left" vertical="top"/>
    </xf>
    <xf numFmtId="43" fontId="28" fillId="0" borderId="3" xfId="1" applyFont="1" applyFill="1" applyBorder="1" applyAlignment="1">
      <alignment horizontal="left" vertical="top"/>
    </xf>
    <xf numFmtId="0" fontId="28" fillId="0" borderId="53" xfId="0" applyFont="1" applyBorder="1" applyAlignment="1">
      <alignment horizontal="center"/>
    </xf>
    <xf numFmtId="165" fontId="22" fillId="0" borderId="53" xfId="0" applyNumberFormat="1" applyFont="1" applyFill="1" applyBorder="1" applyAlignment="1">
      <alignment horizontal="left" vertical="top"/>
    </xf>
    <xf numFmtId="43" fontId="22" fillId="0" borderId="53" xfId="1" applyFont="1" applyFill="1" applyBorder="1" applyAlignment="1">
      <alignment horizontal="left" vertical="top"/>
    </xf>
    <xf numFmtId="43" fontId="22" fillId="0" borderId="53" xfId="0" applyNumberFormat="1" applyFont="1" applyFill="1" applyBorder="1" applyAlignment="1">
      <alignment horizontal="left" vertical="top"/>
    </xf>
    <xf numFmtId="43" fontId="43" fillId="0" borderId="53" xfId="0" applyNumberFormat="1" applyFont="1" applyFill="1" applyBorder="1" applyAlignment="1">
      <alignment horizontal="left" wrapText="1"/>
    </xf>
    <xf numFmtId="43" fontId="16" fillId="0" borderId="0" xfId="1" applyFont="1" applyAlignment="1">
      <alignment horizontal="center" vertical="center"/>
    </xf>
    <xf numFmtId="43" fontId="16" fillId="11" borderId="3" xfId="1" applyFont="1" applyFill="1" applyBorder="1" applyAlignment="1">
      <alignment horizontal="center" vertical="center"/>
    </xf>
    <xf numFmtId="43" fontId="14" fillId="5" borderId="0" xfId="1" applyFont="1" applyFill="1" applyAlignment="1">
      <alignment horizontal="center" vertical="center"/>
    </xf>
    <xf numFmtId="2" fontId="6" fillId="0" borderId="1" xfId="0" applyNumberFormat="1" applyFont="1" applyBorder="1" applyAlignment="1">
      <alignment horizontal="left"/>
    </xf>
    <xf numFmtId="2" fontId="6" fillId="0" borderId="53" xfId="0" applyNumberFormat="1" applyFont="1" applyBorder="1" applyAlignment="1">
      <alignment horizontal="left"/>
    </xf>
    <xf numFmtId="43" fontId="6" fillId="24" borderId="53" xfId="1" applyFont="1" applyFill="1" applyBorder="1" applyAlignment="1">
      <alignment horizontal="left" vertical="top" wrapText="1"/>
    </xf>
    <xf numFmtId="43" fontId="6" fillId="0" borderId="53" xfId="1" applyFont="1" applyBorder="1" applyAlignment="1">
      <alignment horizontal="left" vertical="top" wrapText="1"/>
    </xf>
    <xf numFmtId="43" fontId="6" fillId="0" borderId="1" xfId="1" applyFont="1" applyBorder="1" applyAlignment="1">
      <alignment horizontal="left" vertical="top" wrapText="1"/>
    </xf>
    <xf numFmtId="43" fontId="6" fillId="0" borderId="1" xfId="1" applyFont="1" applyBorder="1" applyAlignment="1">
      <alignment horizontal="left"/>
    </xf>
    <xf numFmtId="43" fontId="6" fillId="0" borderId="53" xfId="1" applyFont="1" applyBorder="1" applyAlignment="1">
      <alignment horizontal="left"/>
    </xf>
    <xf numFmtId="43" fontId="13" fillId="13" borderId="48" xfId="1" applyFont="1" applyFill="1" applyBorder="1" applyAlignment="1">
      <alignment horizontal="left" vertical="top" wrapText="1"/>
    </xf>
    <xf numFmtId="43" fontId="13" fillId="26" borderId="48" xfId="1" applyFont="1" applyFill="1" applyBorder="1" applyAlignment="1">
      <alignment horizontal="left" vertical="top" wrapText="1"/>
    </xf>
    <xf numFmtId="43" fontId="6" fillId="27" borderId="53" xfId="1" applyFont="1" applyFill="1" applyBorder="1" applyAlignment="1">
      <alignment horizontal="left"/>
    </xf>
    <xf numFmtId="43" fontId="6" fillId="8" borderId="53" xfId="1" applyFont="1" applyFill="1" applyBorder="1" applyAlignment="1">
      <alignment horizontal="left"/>
    </xf>
    <xf numFmtId="43" fontId="6" fillId="8" borderId="1" xfId="1" applyFont="1" applyFill="1" applyBorder="1" applyAlignment="1">
      <alignment horizontal="left"/>
    </xf>
    <xf numFmtId="43" fontId="6" fillId="10" borderId="53" xfId="1" applyFont="1" applyFill="1" applyBorder="1" applyAlignment="1">
      <alignment horizontal="left"/>
    </xf>
    <xf numFmtId="43" fontId="6" fillId="10" borderId="1" xfId="1" applyFont="1" applyFill="1" applyBorder="1" applyAlignment="1">
      <alignment horizontal="left"/>
    </xf>
    <xf numFmtId="43" fontId="6" fillId="26" borderId="53" xfId="1" applyFont="1" applyFill="1" applyBorder="1" applyAlignment="1">
      <alignment horizontal="left"/>
    </xf>
    <xf numFmtId="43" fontId="6" fillId="26" borderId="1" xfId="1" applyFont="1" applyFill="1" applyBorder="1" applyAlignment="1">
      <alignment horizontal="left"/>
    </xf>
    <xf numFmtId="43" fontId="6" fillId="0" borderId="0" xfId="1" applyFont="1" applyFill="1" applyBorder="1" applyAlignment="1">
      <alignment horizontal="left"/>
    </xf>
    <xf numFmtId="0" fontId="35" fillId="21" borderId="59" xfId="0" applyFont="1" applyFill="1" applyBorder="1" applyAlignment="1">
      <alignment horizontal="left" vertical="top" wrapText="1"/>
    </xf>
    <xf numFmtId="0" fontId="35" fillId="21" borderId="54" xfId="0" applyFont="1" applyFill="1" applyBorder="1" applyAlignment="1">
      <alignment horizontal="left" vertical="top" wrapText="1"/>
    </xf>
    <xf numFmtId="0" fontId="41" fillId="24" borderId="58" xfId="6" applyFont="1" applyFill="1" applyBorder="1" applyAlignment="1" applyProtection="1">
      <alignment horizontal="left" vertical="top" wrapText="1"/>
    </xf>
    <xf numFmtId="0" fontId="35" fillId="24" borderId="58" xfId="0" applyFont="1" applyFill="1" applyBorder="1" applyAlignment="1">
      <alignment horizontal="left" vertical="top" wrapText="1"/>
    </xf>
    <xf numFmtId="0" fontId="35" fillId="24" borderId="5" xfId="0" applyFont="1" applyFill="1" applyBorder="1" applyAlignment="1">
      <alignment horizontal="left" vertical="top" wrapText="1"/>
    </xf>
    <xf numFmtId="43" fontId="33" fillId="0" borderId="28" xfId="0" applyNumberFormat="1" applyFont="1" applyBorder="1"/>
    <xf numFmtId="43" fontId="35" fillId="7" borderId="53" xfId="0" applyNumberFormat="1" applyFont="1" applyFill="1" applyBorder="1" applyAlignment="1">
      <alignment horizontal="left" vertical="top" wrapText="1"/>
    </xf>
    <xf numFmtId="0" fontId="35" fillId="0" borderId="17" xfId="0" applyFont="1" applyBorder="1" applyAlignment="1">
      <alignment horizontal="left" vertical="top"/>
    </xf>
    <xf numFmtId="43" fontId="12" fillId="0" borderId="28" xfId="1" applyFont="1" applyFill="1" applyBorder="1" applyAlignment="1">
      <alignment horizontal="left" vertical="top"/>
    </xf>
    <xf numFmtId="43" fontId="28" fillId="0" borderId="28" xfId="1" applyFont="1" applyFill="1" applyBorder="1" applyAlignment="1">
      <alignment horizontal="left" vertical="top"/>
    </xf>
    <xf numFmtId="43" fontId="43" fillId="0" borderId="53" xfId="1" applyFont="1" applyFill="1" applyBorder="1" applyAlignment="1">
      <alignment horizontal="left"/>
    </xf>
    <xf numFmtId="0" fontId="25" fillId="5" borderId="3" xfId="0" applyFont="1" applyFill="1" applyBorder="1" applyAlignment="1"/>
    <xf numFmtId="0" fontId="25" fillId="5" borderId="3" xfId="0" applyFont="1" applyFill="1" applyBorder="1" applyAlignment="1">
      <alignment vertical="center"/>
    </xf>
    <xf numFmtId="43" fontId="12" fillId="10" borderId="28" xfId="1" applyFont="1" applyFill="1" applyBorder="1" applyAlignment="1">
      <alignment horizontal="left" vertical="top"/>
    </xf>
    <xf numFmtId="43" fontId="12" fillId="26" borderId="28" xfId="1" applyFont="1" applyFill="1" applyBorder="1" applyAlignment="1">
      <alignment horizontal="left" vertical="top"/>
    </xf>
    <xf numFmtId="43" fontId="12" fillId="5" borderId="28" xfId="1" applyFont="1" applyFill="1" applyBorder="1" applyAlignment="1">
      <alignment horizontal="left" vertical="top"/>
    </xf>
    <xf numFmtId="0" fontId="43" fillId="24" borderId="3" xfId="0" applyFont="1" applyFill="1" applyBorder="1" applyAlignment="1">
      <alignment horizontal="left"/>
    </xf>
    <xf numFmtId="0" fontId="43" fillId="13" borderId="3" xfId="0" applyFont="1" applyFill="1" applyBorder="1" applyAlignment="1">
      <alignment horizontal="left"/>
    </xf>
    <xf numFmtId="0" fontId="43" fillId="0" borderId="3" xfId="0" applyFont="1" applyBorder="1" applyAlignment="1">
      <alignment horizontal="left"/>
    </xf>
    <xf numFmtId="0" fontId="27" fillId="28" borderId="3" xfId="0" applyFont="1" applyFill="1" applyBorder="1" applyAlignment="1">
      <alignment horizontal="left" vertical="top"/>
    </xf>
    <xf numFmtId="0" fontId="22" fillId="10" borderId="3" xfId="0" applyFont="1" applyFill="1" applyBorder="1" applyAlignment="1">
      <alignment horizontal="center"/>
    </xf>
    <xf numFmtId="0" fontId="22" fillId="26" borderId="3" xfId="0" applyFont="1" applyFill="1" applyBorder="1" applyAlignment="1">
      <alignment horizontal="center"/>
    </xf>
    <xf numFmtId="0" fontId="22" fillId="17" borderId="3" xfId="0" applyFont="1" applyFill="1" applyBorder="1" applyAlignment="1">
      <alignment horizontal="center"/>
    </xf>
    <xf numFmtId="0" fontId="22" fillId="0" borderId="27" xfId="0" applyFont="1" applyBorder="1" applyAlignment="1">
      <alignment vertical="top" wrapText="1"/>
    </xf>
    <xf numFmtId="0" fontId="22" fillId="20" borderId="28" xfId="0" applyFont="1" applyFill="1" applyBorder="1" applyAlignment="1">
      <alignment horizontal="center"/>
    </xf>
    <xf numFmtId="0" fontId="27" fillId="20" borderId="4" xfId="0" applyFont="1" applyFill="1" applyBorder="1" applyAlignment="1">
      <alignment horizontal="left" vertical="top"/>
    </xf>
    <xf numFmtId="0" fontId="42" fillId="0" borderId="0" xfId="0" applyFont="1" applyBorder="1"/>
    <xf numFmtId="43" fontId="43" fillId="0" borderId="57" xfId="1" applyFont="1" applyFill="1" applyBorder="1" applyAlignment="1">
      <alignment horizontal="left"/>
    </xf>
    <xf numFmtId="0" fontId="9" fillId="0" borderId="3" xfId="0" applyFont="1" applyBorder="1" applyAlignment="1">
      <alignment vertical="top" wrapText="1"/>
    </xf>
    <xf numFmtId="43" fontId="43" fillId="0" borderId="28" xfId="1" applyFont="1" applyBorder="1" applyAlignment="1">
      <alignment horizontal="left"/>
    </xf>
    <xf numFmtId="43" fontId="43" fillId="0" borderId="28" xfId="1" applyFont="1" applyFill="1" applyBorder="1" applyAlignment="1">
      <alignment horizontal="left"/>
    </xf>
    <xf numFmtId="0" fontId="27" fillId="20" borderId="31" xfId="0" applyFont="1" applyFill="1" applyBorder="1" applyAlignment="1">
      <alignment horizontal="left" vertical="top"/>
    </xf>
    <xf numFmtId="0" fontId="27" fillId="28" borderId="31" xfId="0" applyFont="1" applyFill="1" applyBorder="1" applyAlignment="1">
      <alignment horizontal="left" vertical="top"/>
    </xf>
    <xf numFmtId="43" fontId="12" fillId="16" borderId="28" xfId="1" applyFont="1" applyFill="1" applyBorder="1" applyAlignment="1">
      <alignment horizontal="left"/>
    </xf>
    <xf numFmtId="0" fontId="27" fillId="20" borderId="30" xfId="0" applyFont="1" applyFill="1" applyBorder="1" applyAlignment="1">
      <alignment horizontal="left" vertical="top"/>
    </xf>
    <xf numFmtId="0" fontId="42" fillId="0" borderId="44" xfId="0" applyFont="1" applyBorder="1"/>
    <xf numFmtId="0" fontId="43" fillId="24" borderId="67" xfId="0" applyFont="1" applyFill="1" applyBorder="1" applyAlignment="1">
      <alignment horizontal="left" wrapText="1"/>
    </xf>
    <xf numFmtId="0" fontId="43" fillId="13" borderId="67" xfId="0" applyFont="1" applyFill="1" applyBorder="1" applyAlignment="1">
      <alignment horizontal="left" wrapText="1"/>
    </xf>
    <xf numFmtId="0" fontId="43" fillId="0" borderId="67" xfId="0" applyFont="1" applyBorder="1" applyAlignment="1">
      <alignment horizontal="left" wrapText="1"/>
    </xf>
    <xf numFmtId="0" fontId="22" fillId="0" borderId="67" xfId="0" applyFont="1" applyBorder="1" applyAlignment="1">
      <alignment horizontal="left" wrapText="1"/>
    </xf>
    <xf numFmtId="43" fontId="43" fillId="0" borderId="67" xfId="0" applyNumberFormat="1" applyFont="1" applyBorder="1" applyAlignment="1">
      <alignment horizontal="left" wrapText="1"/>
    </xf>
    <xf numFmtId="43" fontId="43" fillId="0" borderId="67" xfId="0" applyNumberFormat="1" applyFont="1" applyFill="1" applyBorder="1" applyAlignment="1">
      <alignment horizontal="left" wrapText="1"/>
    </xf>
    <xf numFmtId="43" fontId="22" fillId="27" borderId="67" xfId="0" applyNumberFormat="1" applyFont="1" applyFill="1" applyBorder="1" applyAlignment="1">
      <alignment horizontal="left" wrapText="1"/>
    </xf>
    <xf numFmtId="43" fontId="22" fillId="0" borderId="67" xfId="0" applyNumberFormat="1" applyFont="1" applyFill="1" applyBorder="1" applyAlignment="1">
      <alignment horizontal="left" wrapText="1"/>
    </xf>
    <xf numFmtId="43" fontId="22" fillId="2" borderId="67" xfId="0" applyNumberFormat="1" applyFont="1" applyFill="1" applyBorder="1" applyAlignment="1">
      <alignment horizontal="left" vertical="top"/>
    </xf>
    <xf numFmtId="43" fontId="22" fillId="0" borderId="67" xfId="0" applyNumberFormat="1" applyFont="1" applyFill="1" applyBorder="1" applyAlignment="1">
      <alignment horizontal="left" vertical="top"/>
    </xf>
    <xf numFmtId="43" fontId="22" fillId="3" borderId="67" xfId="0" applyNumberFormat="1" applyFont="1" applyFill="1" applyBorder="1" applyAlignment="1">
      <alignment horizontal="left" vertical="center"/>
    </xf>
    <xf numFmtId="43" fontId="22" fillId="16" borderId="67" xfId="0" applyNumberFormat="1" applyFont="1" applyFill="1" applyBorder="1" applyAlignment="1">
      <alignment horizontal="left" vertical="top"/>
    </xf>
    <xf numFmtId="43" fontId="27" fillId="20" borderId="67" xfId="0" applyNumberFormat="1" applyFont="1" applyFill="1" applyBorder="1" applyAlignment="1">
      <alignment horizontal="left" vertical="top"/>
    </xf>
    <xf numFmtId="43" fontId="22" fillId="28" borderId="67" xfId="0" applyNumberFormat="1" applyFont="1" applyFill="1" applyBorder="1" applyAlignment="1">
      <alignment horizontal="left" vertical="top"/>
    </xf>
    <xf numFmtId="43" fontId="22" fillId="15" borderId="67" xfId="0" applyNumberFormat="1" applyFont="1" applyFill="1" applyBorder="1" applyAlignment="1">
      <alignment horizontal="left" vertical="top"/>
    </xf>
    <xf numFmtId="43" fontId="22" fillId="15" borderId="67" xfId="1" applyFont="1" applyFill="1" applyBorder="1" applyAlignment="1">
      <alignment horizontal="center" vertical="top"/>
    </xf>
    <xf numFmtId="43" fontId="27" fillId="28" borderId="67" xfId="0" applyNumberFormat="1" applyFont="1" applyFill="1" applyBorder="1" applyAlignment="1">
      <alignment horizontal="left" vertical="top"/>
    </xf>
    <xf numFmtId="43" fontId="22" fillId="16" borderId="67" xfId="1" applyFont="1" applyFill="1" applyBorder="1" applyAlignment="1">
      <alignment horizontal="center" vertical="top"/>
    </xf>
    <xf numFmtId="43" fontId="22" fillId="10" borderId="67" xfId="0" applyNumberFormat="1" applyFont="1" applyFill="1" applyBorder="1" applyAlignment="1">
      <alignment horizontal="left" wrapText="1"/>
    </xf>
    <xf numFmtId="43" fontId="22" fillId="26" borderId="67" xfId="0" applyNumberFormat="1" applyFont="1" applyFill="1" applyBorder="1" applyAlignment="1">
      <alignment horizontal="left" wrapText="1"/>
    </xf>
    <xf numFmtId="43" fontId="22" fillId="26" borderId="67" xfId="1" applyFont="1" applyFill="1" applyBorder="1" applyAlignment="1">
      <alignment horizontal="left"/>
    </xf>
    <xf numFmtId="43" fontId="22" fillId="27" borderId="67" xfId="0" applyNumberFormat="1" applyFont="1" applyFill="1" applyBorder="1" applyAlignment="1">
      <alignment horizontal="left" vertical="top"/>
    </xf>
    <xf numFmtId="43" fontId="22" fillId="6" borderId="67" xfId="0" applyNumberFormat="1" applyFont="1" applyFill="1" applyBorder="1" applyAlignment="1">
      <alignment horizontal="left" vertical="top"/>
    </xf>
    <xf numFmtId="43" fontId="43" fillId="0" borderId="67" xfId="1" applyFont="1" applyBorder="1" applyAlignment="1">
      <alignment horizontal="left" wrapText="1"/>
    </xf>
    <xf numFmtId="43" fontId="22" fillId="6" borderId="67" xfId="1" applyFont="1" applyFill="1" applyBorder="1" applyAlignment="1">
      <alignment horizontal="left" vertical="top"/>
    </xf>
    <xf numFmtId="43" fontId="22" fillId="0" borderId="67" xfId="1" applyFont="1" applyFill="1" applyBorder="1" applyAlignment="1">
      <alignment horizontal="left" vertical="top"/>
    </xf>
    <xf numFmtId="43" fontId="22" fillId="29" borderId="67" xfId="0" applyNumberFormat="1" applyFont="1" applyFill="1" applyBorder="1" applyAlignment="1">
      <alignment horizontal="left" vertical="top"/>
    </xf>
    <xf numFmtId="43" fontId="22" fillId="17" borderId="67" xfId="1" applyFont="1" applyFill="1" applyBorder="1" applyAlignment="1">
      <alignment horizontal="left"/>
    </xf>
    <xf numFmtId="43" fontId="22" fillId="20" borderId="67" xfId="0" applyNumberFormat="1" applyFont="1" applyFill="1" applyBorder="1" applyAlignment="1">
      <alignment horizontal="left" vertical="top"/>
    </xf>
    <xf numFmtId="43" fontId="12" fillId="26" borderId="44" xfId="1" applyFont="1" applyFill="1" applyBorder="1" applyAlignment="1">
      <alignment horizontal="left"/>
    </xf>
    <xf numFmtId="43" fontId="22" fillId="23" borderId="67" xfId="0" applyNumberFormat="1" applyFont="1" applyFill="1" applyBorder="1" applyAlignment="1">
      <alignment horizontal="left" vertical="top"/>
    </xf>
    <xf numFmtId="165" fontId="22" fillId="25" borderId="67" xfId="1" applyNumberFormat="1" applyFont="1" applyFill="1" applyBorder="1" applyAlignment="1"/>
    <xf numFmtId="4" fontId="42" fillId="0" borderId="44" xfId="0" applyNumberFormat="1" applyFont="1" applyBorder="1"/>
    <xf numFmtId="43" fontId="42" fillId="0" borderId="44" xfId="0" applyNumberFormat="1" applyFont="1" applyBorder="1"/>
    <xf numFmtId="43" fontId="9" fillId="0" borderId="3" xfId="0" applyNumberFormat="1" applyFont="1" applyBorder="1" applyAlignment="1">
      <alignment vertical="top" wrapText="1"/>
    </xf>
    <xf numFmtId="43" fontId="26" fillId="0" borderId="0" xfId="1" applyFont="1"/>
    <xf numFmtId="43" fontId="15" fillId="24" borderId="3" xfId="1" applyFont="1" applyFill="1" applyBorder="1" applyAlignment="1">
      <alignment horizontal="left"/>
    </xf>
    <xf numFmtId="43" fontId="15" fillId="13" borderId="3" xfId="1" applyFont="1" applyFill="1" applyBorder="1" applyAlignment="1">
      <alignment horizontal="left"/>
    </xf>
    <xf numFmtId="43" fontId="15" fillId="0" borderId="3" xfId="1" applyFont="1" applyBorder="1" applyAlignment="1">
      <alignment horizontal="left"/>
    </xf>
    <xf numFmtId="43" fontId="26" fillId="0" borderId="3" xfId="1" applyFont="1" applyBorder="1"/>
    <xf numFmtId="43" fontId="15" fillId="0" borderId="3" xfId="1" applyFont="1" applyFill="1" applyBorder="1" applyAlignment="1">
      <alignment horizontal="left"/>
    </xf>
    <xf numFmtId="43" fontId="15" fillId="10" borderId="3" xfId="1" applyFont="1" applyFill="1" applyBorder="1" applyAlignment="1">
      <alignment horizontal="left"/>
    </xf>
    <xf numFmtId="43" fontId="15" fillId="16" borderId="3" xfId="1" applyFont="1" applyFill="1" applyBorder="1" applyAlignment="1">
      <alignment horizontal="left"/>
    </xf>
    <xf numFmtId="43" fontId="15" fillId="26" borderId="3" xfId="1" applyFont="1" applyFill="1" applyBorder="1" applyAlignment="1">
      <alignment horizontal="left" vertical="top"/>
    </xf>
    <xf numFmtId="43" fontId="15" fillId="5" borderId="3" xfId="1" applyFont="1" applyFill="1" applyBorder="1" applyAlignment="1">
      <alignment horizontal="left" vertical="top"/>
    </xf>
    <xf numFmtId="43" fontId="15" fillId="0" borderId="3" xfId="1" applyFont="1" applyFill="1" applyBorder="1" applyAlignment="1">
      <alignment horizontal="left" vertical="top"/>
    </xf>
    <xf numFmtId="43" fontId="15" fillId="20" borderId="28" xfId="1" applyFont="1" applyFill="1" applyBorder="1" applyAlignment="1">
      <alignment horizontal="left"/>
    </xf>
    <xf numFmtId="43" fontId="15" fillId="26" borderId="3" xfId="1" applyFont="1" applyFill="1" applyBorder="1" applyAlignment="1">
      <alignment horizontal="left"/>
    </xf>
    <xf numFmtId="43" fontId="15" fillId="0" borderId="3" xfId="1" applyFont="1" applyBorder="1" applyAlignment="1"/>
    <xf numFmtId="43" fontId="15" fillId="17" borderId="3" xfId="1" applyFont="1" applyFill="1" applyBorder="1" applyAlignment="1">
      <alignment horizontal="left"/>
    </xf>
    <xf numFmtId="43" fontId="26" fillId="0" borderId="0" xfId="1" applyFont="1" applyBorder="1"/>
    <xf numFmtId="43" fontId="42" fillId="0" borderId="0" xfId="1" applyFont="1" applyBorder="1"/>
    <xf numFmtId="43" fontId="25" fillId="5" borderId="3" xfId="1" applyFont="1" applyFill="1" applyBorder="1" applyAlignment="1"/>
    <xf numFmtId="43" fontId="43" fillId="24" borderId="3" xfId="1" applyFont="1" applyFill="1" applyBorder="1" applyAlignment="1">
      <alignment horizontal="left"/>
    </xf>
    <xf numFmtId="43" fontId="43" fillId="13" borderId="3" xfId="1" applyFont="1" applyFill="1" applyBorder="1" applyAlignment="1">
      <alignment horizontal="left"/>
    </xf>
    <xf numFmtId="43" fontId="22" fillId="0" borderId="3" xfId="1" applyFont="1" applyBorder="1" applyAlignment="1">
      <alignment horizontal="left"/>
    </xf>
    <xf numFmtId="43" fontId="22" fillId="2" borderId="3" xfId="1" applyFont="1" applyFill="1" applyBorder="1" applyAlignment="1">
      <alignment horizontal="left" vertical="top"/>
    </xf>
    <xf numFmtId="43" fontId="22" fillId="16" borderId="3" xfId="1" applyFont="1" applyFill="1" applyBorder="1" applyAlignment="1">
      <alignment horizontal="left" vertical="top"/>
    </xf>
    <xf numFmtId="43" fontId="22" fillId="28" borderId="3" xfId="1" applyFont="1" applyFill="1" applyBorder="1" applyAlignment="1">
      <alignment horizontal="left" vertical="top"/>
    </xf>
    <xf numFmtId="43" fontId="22" fillId="15" borderId="3" xfId="1" applyFont="1" applyFill="1" applyBorder="1" applyAlignment="1">
      <alignment horizontal="left" vertical="top"/>
    </xf>
    <xf numFmtId="43" fontId="22" fillId="10" borderId="3" xfId="1" applyFont="1" applyFill="1" applyBorder="1" applyAlignment="1">
      <alignment horizontal="center"/>
    </xf>
    <xf numFmtId="43" fontId="22" fillId="20" borderId="28" xfId="1" applyFont="1" applyFill="1" applyBorder="1" applyAlignment="1">
      <alignment horizontal="center"/>
    </xf>
    <xf numFmtId="43" fontId="22" fillId="26" borderId="3" xfId="1" applyFont="1" applyFill="1" applyBorder="1" applyAlignment="1">
      <alignment horizontal="center"/>
    </xf>
    <xf numFmtId="43" fontId="22" fillId="27" borderId="3" xfId="1" applyFont="1" applyFill="1" applyBorder="1" applyAlignment="1">
      <alignment horizontal="left" vertical="top"/>
    </xf>
    <xf numFmtId="43" fontId="22" fillId="5" borderId="3" xfId="1" applyFont="1" applyFill="1" applyBorder="1" applyAlignment="1">
      <alignment horizontal="left" vertical="top"/>
    </xf>
    <xf numFmtId="43" fontId="22" fillId="6" borderId="3" xfId="1" applyFont="1" applyFill="1" applyBorder="1" applyAlignment="1">
      <alignment horizontal="left" vertical="top"/>
    </xf>
    <xf numFmtId="43" fontId="22" fillId="17" borderId="3" xfId="1" applyFont="1" applyFill="1" applyBorder="1" applyAlignment="1">
      <alignment horizontal="center"/>
    </xf>
    <xf numFmtId="43" fontId="22" fillId="20" borderId="3" xfId="1" applyFont="1" applyFill="1" applyBorder="1" applyAlignment="1">
      <alignment horizontal="left" vertical="top"/>
    </xf>
    <xf numFmtId="43" fontId="22" fillId="23" borderId="3" xfId="1" applyFont="1" applyFill="1" applyBorder="1" applyAlignment="1">
      <alignment horizontal="left" vertical="top"/>
    </xf>
    <xf numFmtId="43" fontId="52" fillId="0" borderId="3" xfId="1" applyFont="1" applyBorder="1" applyAlignment="1">
      <alignment vertical="top" wrapText="1"/>
    </xf>
    <xf numFmtId="43" fontId="52" fillId="0" borderId="3" xfId="1" applyFont="1" applyFill="1" applyBorder="1" applyAlignment="1">
      <alignment vertical="top" wrapText="1"/>
    </xf>
    <xf numFmtId="43" fontId="22" fillId="26" borderId="3" xfId="1" applyFont="1" applyFill="1" applyBorder="1" applyAlignment="1">
      <alignment horizontal="left" vertical="top"/>
    </xf>
    <xf numFmtId="43" fontId="22" fillId="0" borderId="3" xfId="1" applyFont="1" applyFill="1" applyBorder="1" applyAlignment="1">
      <alignment horizontal="left" vertical="top"/>
    </xf>
    <xf numFmtId="43" fontId="22" fillId="16" borderId="3" xfId="1" applyFont="1" applyFill="1" applyBorder="1" applyAlignment="1">
      <alignment horizontal="left"/>
    </xf>
    <xf numFmtId="43" fontId="22" fillId="0" borderId="3" xfId="1" applyFont="1" applyBorder="1" applyAlignment="1">
      <alignment horizontal="left" vertical="top"/>
    </xf>
    <xf numFmtId="43" fontId="15" fillId="2" borderId="3" xfId="1" applyFont="1" applyFill="1" applyBorder="1" applyAlignment="1">
      <alignment horizontal="left" vertical="top"/>
    </xf>
    <xf numFmtId="43" fontId="15" fillId="16" borderId="3" xfId="1" applyFont="1" applyFill="1" applyBorder="1" applyAlignment="1">
      <alignment horizontal="left" vertical="top"/>
    </xf>
    <xf numFmtId="43" fontId="15" fillId="28" borderId="3" xfId="1" applyFont="1" applyFill="1" applyBorder="1" applyAlignment="1">
      <alignment horizontal="left" vertical="top"/>
    </xf>
    <xf numFmtId="43" fontId="15" fillId="15" borderId="3" xfId="1" applyFont="1" applyFill="1" applyBorder="1" applyAlignment="1">
      <alignment horizontal="left" vertical="top"/>
    </xf>
    <xf numFmtId="43" fontId="27" fillId="28" borderId="53" xfId="1" applyFont="1" applyFill="1" applyBorder="1" applyAlignment="1">
      <alignment horizontal="left" vertical="top"/>
    </xf>
    <xf numFmtId="43" fontId="15" fillId="27" borderId="3" xfId="1" applyFont="1" applyFill="1" applyBorder="1" applyAlignment="1">
      <alignment horizontal="left" vertical="top"/>
    </xf>
    <xf numFmtId="43" fontId="22" fillId="27" borderId="53" xfId="1" applyFont="1" applyFill="1" applyBorder="1" applyAlignment="1">
      <alignment horizontal="left" vertical="top"/>
    </xf>
    <xf numFmtId="43" fontId="22" fillId="15" borderId="53" xfId="1" applyFont="1" applyFill="1" applyBorder="1" applyAlignment="1">
      <alignment horizontal="left" vertical="top"/>
    </xf>
    <xf numFmtId="43" fontId="15" fillId="6" borderId="3" xfId="1" applyFont="1" applyFill="1" applyBorder="1" applyAlignment="1">
      <alignment horizontal="left" vertical="top"/>
    </xf>
    <xf numFmtId="43" fontId="22" fillId="29" borderId="53" xfId="1" applyFont="1" applyFill="1" applyBorder="1" applyAlignment="1">
      <alignment horizontal="left" vertical="top"/>
    </xf>
    <xf numFmtId="43" fontId="15" fillId="20" borderId="3" xfId="1" applyFont="1" applyFill="1" applyBorder="1" applyAlignment="1">
      <alignment horizontal="left" vertical="top"/>
    </xf>
    <xf numFmtId="43" fontId="22" fillId="20" borderId="53" xfId="1" applyFont="1" applyFill="1" applyBorder="1" applyAlignment="1">
      <alignment horizontal="left" vertical="top"/>
    </xf>
    <xf numFmtId="43" fontId="15" fillId="0" borderId="3" xfId="1" applyFont="1" applyBorder="1" applyAlignment="1">
      <alignment horizontal="left" vertical="top"/>
    </xf>
    <xf numFmtId="43" fontId="15" fillId="23" borderId="3" xfId="1" applyFont="1" applyFill="1" applyBorder="1" applyAlignment="1">
      <alignment horizontal="left" vertical="top"/>
    </xf>
    <xf numFmtId="43" fontId="22" fillId="23" borderId="53" xfId="1" applyFont="1" applyFill="1" applyBorder="1" applyAlignment="1">
      <alignment horizontal="left" vertical="top"/>
    </xf>
    <xf numFmtId="43" fontId="3" fillId="16" borderId="3" xfId="0" applyNumberFormat="1" applyFont="1" applyFill="1" applyBorder="1" applyAlignment="1">
      <alignment horizontal="center"/>
    </xf>
    <xf numFmtId="4" fontId="3" fillId="16" borderId="3" xfId="0" applyNumberFormat="1" applyFont="1" applyFill="1" applyBorder="1" applyAlignment="1">
      <alignment horizontal="center"/>
    </xf>
    <xf numFmtId="43" fontId="3" fillId="16" borderId="3" xfId="1" applyFont="1" applyFill="1" applyBorder="1" applyAlignment="1">
      <alignment horizontal="center"/>
    </xf>
    <xf numFmtId="165" fontId="3" fillId="0" borderId="3" xfId="1" applyNumberFormat="1" applyFont="1" applyBorder="1"/>
    <xf numFmtId="0" fontId="7" fillId="8" borderId="3" xfId="0" applyFont="1" applyFill="1" applyBorder="1" applyAlignment="1">
      <alignment horizontal="center"/>
    </xf>
    <xf numFmtId="43" fontId="7" fillId="8" borderId="3" xfId="0" applyNumberFormat="1" applyFont="1" applyFill="1" applyBorder="1" applyAlignment="1">
      <alignment horizontal="center"/>
    </xf>
    <xf numFmtId="4" fontId="7" fillId="8" borderId="3" xfId="0" applyNumberFormat="1" applyFont="1" applyFill="1" applyBorder="1" applyAlignment="1">
      <alignment horizontal="center"/>
    </xf>
    <xf numFmtId="43" fontId="7" fillId="8" borderId="3" xfId="1" applyFont="1" applyFill="1" applyBorder="1" applyAlignment="1">
      <alignment horizontal="center"/>
    </xf>
    <xf numFmtId="49" fontId="19" fillId="5" borderId="3" xfId="0" applyNumberFormat="1" applyFont="1" applyFill="1" applyBorder="1" applyAlignment="1" applyProtection="1">
      <alignment horizontal="center" vertical="center" wrapText="1"/>
      <protection locked="0"/>
    </xf>
    <xf numFmtId="43" fontId="23" fillId="18" borderId="3" xfId="0" applyNumberFormat="1" applyFont="1" applyFill="1" applyBorder="1"/>
    <xf numFmtId="0" fontId="16" fillId="0" borderId="28" xfId="0" applyFont="1" applyBorder="1"/>
    <xf numFmtId="168" fontId="9" fillId="13" borderId="3" xfId="0" applyNumberFormat="1" applyFont="1" applyFill="1" applyBorder="1" applyAlignment="1">
      <alignment horizontal="center" vertical="center"/>
    </xf>
    <xf numFmtId="168" fontId="9" fillId="13" borderId="3" xfId="1" applyNumberFormat="1" applyFont="1" applyFill="1" applyBorder="1" applyAlignment="1">
      <alignment horizontal="center" vertical="center"/>
    </xf>
    <xf numFmtId="168" fontId="16" fillId="0" borderId="3" xfId="0" applyNumberFormat="1" applyFont="1" applyBorder="1"/>
    <xf numFmtId="168" fontId="16" fillId="0" borderId="3" xfId="0" applyNumberFormat="1" applyFont="1" applyBorder="1" applyAlignment="1">
      <alignment horizontal="center"/>
    </xf>
    <xf numFmtId="168" fontId="9" fillId="0" borderId="27" xfId="0" applyNumberFormat="1" applyFont="1" applyFill="1" applyBorder="1" applyAlignment="1">
      <alignment horizontal="center" vertical="center"/>
    </xf>
    <xf numFmtId="43" fontId="35" fillId="21" borderId="3" xfId="0" applyNumberFormat="1" applyFont="1" applyFill="1" applyBorder="1" applyAlignment="1">
      <alignment horizontal="left" vertical="top" wrapText="1"/>
    </xf>
    <xf numFmtId="4" fontId="54" fillId="8" borderId="53" xfId="0" applyNumberFormat="1" applyFont="1" applyFill="1" applyBorder="1" applyAlignment="1">
      <alignment horizontal="justify" vertical="center" wrapText="1"/>
    </xf>
    <xf numFmtId="4" fontId="54" fillId="33" borderId="53" xfId="0" applyNumberFormat="1" applyFont="1" applyFill="1" applyBorder="1" applyAlignment="1">
      <alignment horizontal="justify" vertical="center" wrapText="1"/>
    </xf>
    <xf numFmtId="4" fontId="54" fillId="21" borderId="53" xfId="0" applyNumberFormat="1" applyFont="1" applyFill="1" applyBorder="1" applyAlignment="1">
      <alignment horizontal="left" vertical="center" wrapText="1"/>
    </xf>
    <xf numFmtId="0" fontId="13" fillId="0" borderId="0" xfId="0" applyFont="1" applyAlignment="1">
      <alignment vertical="center"/>
    </xf>
    <xf numFmtId="0" fontId="6" fillId="21" borderId="55" xfId="0" applyFont="1" applyFill="1" applyBorder="1" applyAlignment="1">
      <alignment horizontal="left" vertical="center" wrapText="1"/>
    </xf>
    <xf numFmtId="0" fontId="6" fillId="21" borderId="53" xfId="0" applyFont="1" applyFill="1" applyBorder="1" applyAlignment="1">
      <alignment horizontal="left" vertical="center" wrapText="1"/>
    </xf>
    <xf numFmtId="0" fontId="6" fillId="7" borderId="48" xfId="0" applyFont="1" applyFill="1" applyBorder="1" applyAlignment="1">
      <alignment horizontal="left" vertical="center" wrapText="1"/>
    </xf>
    <xf numFmtId="0" fontId="6" fillId="7" borderId="53" xfId="0" applyFont="1" applyFill="1" applyBorder="1" applyAlignment="1">
      <alignment horizontal="left" vertical="center" wrapText="1"/>
    </xf>
    <xf numFmtId="0" fontId="6" fillId="7" borderId="53" xfId="0" applyFont="1" applyFill="1" applyBorder="1" applyAlignment="1">
      <alignment horizontal="center" vertical="center" wrapText="1"/>
    </xf>
    <xf numFmtId="10" fontId="0" fillId="0" borderId="0" xfId="0" applyNumberFormat="1"/>
    <xf numFmtId="10" fontId="6" fillId="7" borderId="53" xfId="0" applyNumberFormat="1" applyFont="1" applyFill="1" applyBorder="1" applyAlignment="1">
      <alignment horizontal="center" vertical="center" wrapText="1"/>
    </xf>
    <xf numFmtId="0" fontId="0" fillId="7" borderId="48" xfId="0" applyFill="1" applyBorder="1" applyAlignment="1">
      <alignment wrapText="1"/>
    </xf>
    <xf numFmtId="0" fontId="6" fillId="34" borderId="53" xfId="0" applyFont="1" applyFill="1" applyBorder="1" applyAlignment="1">
      <alignment horizontal="center" vertical="center" wrapText="1"/>
    </xf>
    <xf numFmtId="10" fontId="6" fillId="21" borderId="53" xfId="0" applyNumberFormat="1" applyFont="1" applyFill="1" applyBorder="1" applyAlignment="1">
      <alignment horizontal="left" vertical="center" wrapText="1"/>
    </xf>
    <xf numFmtId="10" fontId="6" fillId="7" borderId="53" xfId="0" applyNumberFormat="1" applyFont="1" applyFill="1" applyBorder="1" applyAlignment="1">
      <alignment horizontal="left" vertical="center" wrapText="1"/>
    </xf>
    <xf numFmtId="10" fontId="0" fillId="0" borderId="0" xfId="1" applyNumberFormat="1" applyFont="1"/>
    <xf numFmtId="10" fontId="6" fillId="21" borderId="53" xfId="1" applyNumberFormat="1" applyFont="1" applyFill="1" applyBorder="1" applyAlignment="1">
      <alignment horizontal="left" vertical="center" wrapText="1"/>
    </xf>
    <xf numFmtId="10" fontId="6" fillId="7" borderId="53" xfId="1" applyNumberFormat="1" applyFont="1" applyFill="1" applyBorder="1" applyAlignment="1">
      <alignment horizontal="center" vertical="center" wrapText="1"/>
    </xf>
    <xf numFmtId="10" fontId="6" fillId="34" borderId="53" xfId="1" applyNumberFormat="1" applyFont="1" applyFill="1" applyBorder="1" applyAlignment="1">
      <alignment horizontal="center" vertical="center" wrapText="1"/>
    </xf>
    <xf numFmtId="165" fontId="0" fillId="0" borderId="0" xfId="1" applyNumberFormat="1" applyFont="1"/>
    <xf numFmtId="0" fontId="0" fillId="0" borderId="0" xfId="0" applyFill="1"/>
    <xf numFmtId="43" fontId="7" fillId="21" borderId="17" xfId="1" applyFont="1" applyFill="1" applyBorder="1" applyAlignment="1">
      <alignment horizontal="left"/>
    </xf>
    <xf numFmtId="43" fontId="45" fillId="21" borderId="53" xfId="1" applyFont="1" applyFill="1" applyBorder="1" applyAlignment="1">
      <alignment horizontal="left"/>
    </xf>
    <xf numFmtId="43" fontId="13" fillId="24" borderId="17" xfId="1" applyFont="1" applyFill="1" applyBorder="1" applyAlignment="1">
      <alignment horizontal="left"/>
    </xf>
    <xf numFmtId="43" fontId="46" fillId="0" borderId="17" xfId="1" applyFont="1" applyBorder="1" applyAlignment="1">
      <alignment horizontal="left"/>
    </xf>
    <xf numFmtId="43" fontId="46" fillId="30" borderId="17" xfId="1" applyFont="1" applyFill="1" applyBorder="1" applyAlignment="1">
      <alignment horizontal="right"/>
    </xf>
    <xf numFmtId="43" fontId="13" fillId="24" borderId="17" xfId="1" applyFont="1" applyFill="1" applyBorder="1" applyAlignment="1">
      <alignment horizontal="right"/>
    </xf>
    <xf numFmtId="43" fontId="13" fillId="31" borderId="17" xfId="1" applyFont="1" applyFill="1" applyBorder="1" applyAlignment="1">
      <alignment horizontal="left"/>
    </xf>
    <xf numFmtId="43" fontId="7" fillId="7" borderId="17" xfId="1" applyFont="1" applyFill="1" applyBorder="1" applyAlignment="1">
      <alignment horizontal="right"/>
    </xf>
    <xf numFmtId="43" fontId="3" fillId="0" borderId="54" xfId="1" applyFont="1" applyBorder="1" applyAlignment="1"/>
    <xf numFmtId="43" fontId="46" fillId="0" borderId="17" xfId="1" applyFont="1" applyBorder="1" applyAlignment="1">
      <alignment horizontal="right"/>
    </xf>
    <xf numFmtId="43" fontId="3" fillId="0" borderId="17" xfId="1" applyFont="1" applyBorder="1" applyAlignment="1">
      <alignment horizontal="right"/>
    </xf>
    <xf numFmtId="43" fontId="7" fillId="21" borderId="53" xfId="1" applyFont="1" applyFill="1" applyBorder="1" applyAlignment="1">
      <alignment horizontal="right"/>
    </xf>
    <xf numFmtId="43" fontId="7" fillId="30" borderId="17" xfId="1" applyFont="1" applyFill="1" applyBorder="1" applyAlignment="1">
      <alignment horizontal="right"/>
    </xf>
    <xf numFmtId="43" fontId="7" fillId="21" borderId="53" xfId="1" applyFont="1" applyFill="1" applyBorder="1" applyAlignment="1">
      <alignment horizontal="center" vertical="top"/>
    </xf>
    <xf numFmtId="43" fontId="7" fillId="21" borderId="53" xfId="1" applyFont="1" applyFill="1" applyBorder="1" applyAlignment="1">
      <alignment horizontal="left"/>
    </xf>
    <xf numFmtId="43" fontId="7" fillId="7" borderId="53" xfId="1" applyFont="1" applyFill="1" applyBorder="1" applyAlignment="1">
      <alignment horizontal="left"/>
    </xf>
    <xf numFmtId="43" fontId="46" fillId="21" borderId="53" xfId="1" applyFont="1" applyFill="1" applyBorder="1" applyAlignment="1">
      <alignment horizontal="center"/>
    </xf>
    <xf numFmtId="43" fontId="47" fillId="0" borderId="0" xfId="1" applyFont="1"/>
    <xf numFmtId="43" fontId="2" fillId="0" borderId="0" xfId="1" applyFont="1"/>
    <xf numFmtId="0" fontId="43" fillId="2" borderId="3" xfId="0" applyFont="1" applyFill="1" applyBorder="1" applyAlignment="1">
      <alignment horizontal="left" vertical="top"/>
    </xf>
    <xf numFmtId="0" fontId="43" fillId="2" borderId="53" xfId="0" applyFont="1" applyFill="1" applyBorder="1" applyAlignment="1">
      <alignment horizontal="center"/>
    </xf>
    <xf numFmtId="165" fontId="43" fillId="2" borderId="53" xfId="1" applyNumberFormat="1" applyFont="1" applyFill="1" applyBorder="1" applyAlignment="1"/>
    <xf numFmtId="43" fontId="43" fillId="2" borderId="53" xfId="1" applyFont="1" applyFill="1" applyBorder="1" applyAlignment="1"/>
    <xf numFmtId="0" fontId="43" fillId="2" borderId="53" xfId="0" applyFont="1" applyFill="1" applyBorder="1" applyAlignment="1">
      <alignment horizontal="left" wrapText="1"/>
    </xf>
    <xf numFmtId="43" fontId="22" fillId="2" borderId="53" xfId="1" applyFont="1" applyFill="1" applyBorder="1" applyAlignment="1">
      <alignment horizontal="left" vertical="top"/>
    </xf>
    <xf numFmtId="43" fontId="22" fillId="3" borderId="53" xfId="1" applyFont="1" applyFill="1" applyBorder="1" applyAlignment="1">
      <alignment horizontal="center" vertical="center"/>
    </xf>
    <xf numFmtId="43" fontId="22" fillId="3" borderId="53" xfId="1" applyFont="1" applyFill="1" applyBorder="1" applyAlignment="1">
      <alignment horizontal="left" vertical="center"/>
    </xf>
    <xf numFmtId="43" fontId="22" fillId="28" borderId="53" xfId="1" applyFont="1" applyFill="1" applyBorder="1" applyAlignment="1">
      <alignment horizontal="left" vertical="top"/>
    </xf>
    <xf numFmtId="43" fontId="42" fillId="0" borderId="0" xfId="1" applyFont="1" applyFill="1"/>
    <xf numFmtId="43" fontId="43" fillId="0" borderId="53" xfId="1" applyFont="1" applyBorder="1" applyAlignment="1">
      <alignment wrapText="1"/>
    </xf>
    <xf numFmtId="43" fontId="12" fillId="0" borderId="28" xfId="1" applyFont="1" applyBorder="1" applyAlignment="1">
      <alignment horizontal="left" vertical="top"/>
    </xf>
    <xf numFmtId="0" fontId="43" fillId="0" borderId="25" xfId="0" applyFont="1" applyBorder="1" applyAlignment="1">
      <alignment horizontal="center" vertical="top"/>
    </xf>
    <xf numFmtId="0" fontId="43" fillId="0" borderId="5" xfId="0" applyFont="1" applyBorder="1" applyAlignment="1">
      <alignment horizontal="center" vertical="top"/>
    </xf>
    <xf numFmtId="43" fontId="42" fillId="3" borderId="0" xfId="1" applyFont="1" applyFill="1"/>
    <xf numFmtId="43" fontId="33" fillId="0" borderId="0" xfId="1" applyFont="1"/>
    <xf numFmtId="171" fontId="42" fillId="0" borderId="0" xfId="0" applyNumberFormat="1" applyFont="1"/>
    <xf numFmtId="172" fontId="42" fillId="0" borderId="0" xfId="0" applyNumberFormat="1" applyFont="1"/>
    <xf numFmtId="43" fontId="3" fillId="3" borderId="3" xfId="1" applyFont="1" applyFill="1" applyBorder="1" applyAlignment="1"/>
    <xf numFmtId="0" fontId="42" fillId="21" borderId="3" xfId="1" applyNumberFormat="1" applyFont="1" applyFill="1" applyBorder="1" applyAlignment="1">
      <alignment horizontal="center"/>
    </xf>
    <xf numFmtId="0" fontId="43" fillId="21" borderId="3" xfId="0" applyNumberFormat="1" applyFont="1" applyFill="1" applyBorder="1" applyAlignment="1">
      <alignment horizontal="center" wrapText="1"/>
    </xf>
    <xf numFmtId="0" fontId="43" fillId="0" borderId="53" xfId="0" applyNumberFormat="1" applyFont="1" applyBorder="1" applyAlignment="1">
      <alignment horizontal="center" wrapText="1"/>
    </xf>
    <xf numFmtId="0" fontId="22" fillId="27" borderId="53" xfId="1" applyNumberFormat="1" applyFont="1" applyFill="1" applyBorder="1" applyAlignment="1">
      <alignment horizontal="center"/>
    </xf>
    <xf numFmtId="0" fontId="22" fillId="0" borderId="53" xfId="0" applyNumberFormat="1" applyFont="1" applyFill="1" applyBorder="1" applyAlignment="1">
      <alignment horizontal="center" vertical="top"/>
    </xf>
    <xf numFmtId="0" fontId="12" fillId="0" borderId="3" xfId="1" applyNumberFormat="1" applyFont="1" applyFill="1" applyBorder="1" applyAlignment="1">
      <alignment horizontal="center" vertical="top"/>
    </xf>
    <xf numFmtId="0" fontId="28" fillId="0" borderId="3" xfId="1" applyNumberFormat="1" applyFont="1" applyFill="1" applyBorder="1" applyAlignment="1">
      <alignment horizontal="center" vertical="top"/>
    </xf>
    <xf numFmtId="0" fontId="43" fillId="0" borderId="53" xfId="1" applyNumberFormat="1" applyFont="1" applyBorder="1" applyAlignment="1">
      <alignment horizontal="center" wrapText="1"/>
    </xf>
    <xf numFmtId="0" fontId="42" fillId="0" borderId="3" xfId="0" applyFont="1" applyBorder="1" applyAlignment="1">
      <alignment wrapText="1"/>
    </xf>
    <xf numFmtId="0" fontId="43" fillId="0" borderId="5" xfId="0" applyFont="1" applyBorder="1" applyAlignment="1">
      <alignment horizontal="left" vertical="top"/>
    </xf>
    <xf numFmtId="0" fontId="22" fillId="35" borderId="3" xfId="0" applyFont="1" applyFill="1" applyBorder="1" applyAlignment="1">
      <alignment horizontal="left" vertical="top"/>
    </xf>
    <xf numFmtId="0" fontId="22" fillId="35" borderId="53" xfId="0" applyFont="1" applyFill="1" applyBorder="1" applyAlignment="1">
      <alignment horizontal="left" vertical="top"/>
    </xf>
    <xf numFmtId="0" fontId="22" fillId="35" borderId="53" xfId="0" applyFont="1" applyFill="1" applyBorder="1" applyAlignment="1">
      <alignment horizontal="center"/>
    </xf>
    <xf numFmtId="43" fontId="22" fillId="35" borderId="53" xfId="1" applyFont="1" applyFill="1" applyBorder="1" applyAlignment="1">
      <alignment horizontal="left"/>
    </xf>
    <xf numFmtId="0" fontId="43" fillId="0" borderId="3" xfId="0" applyFont="1" applyFill="1" applyBorder="1" applyAlignment="1">
      <alignment horizontal="left" vertical="top"/>
    </xf>
    <xf numFmtId="165" fontId="43" fillId="0" borderId="53" xfId="1" applyNumberFormat="1" applyFont="1" applyFill="1" applyBorder="1" applyAlignment="1"/>
    <xf numFmtId="0" fontId="43" fillId="0" borderId="53" xfId="0" applyFont="1" applyFill="1" applyBorder="1" applyAlignment="1">
      <alignment horizontal="left" wrapText="1"/>
    </xf>
    <xf numFmtId="43" fontId="22" fillId="16" borderId="0" xfId="0" applyNumberFormat="1" applyFont="1" applyFill="1" applyBorder="1" applyAlignment="1">
      <alignment horizontal="left" vertical="top"/>
    </xf>
    <xf numFmtId="43" fontId="22" fillId="16" borderId="0" xfId="1" applyFont="1" applyFill="1" applyBorder="1" applyAlignment="1">
      <alignment horizontal="left" vertical="top"/>
    </xf>
    <xf numFmtId="43" fontId="22" fillId="0" borderId="0" xfId="0" applyNumberFormat="1" applyFont="1" applyFill="1" applyBorder="1" applyAlignment="1">
      <alignment horizontal="left" vertical="top"/>
    </xf>
    <xf numFmtId="43" fontId="22" fillId="0" borderId="0" xfId="1" applyFont="1" applyFill="1" applyBorder="1" applyAlignment="1">
      <alignment horizontal="left" vertical="top"/>
    </xf>
    <xf numFmtId="0" fontId="22" fillId="16" borderId="20" xfId="0" applyFont="1" applyFill="1" applyBorder="1" applyAlignment="1">
      <alignment horizontal="center" vertical="top" wrapText="1"/>
    </xf>
    <xf numFmtId="43" fontId="59" fillId="5" borderId="3" xfId="1" applyFont="1" applyFill="1" applyBorder="1" applyAlignment="1">
      <alignment vertical="top"/>
    </xf>
    <xf numFmtId="173" fontId="0" fillId="0" borderId="0" xfId="0" applyNumberFormat="1"/>
    <xf numFmtId="43" fontId="35" fillId="0" borderId="53" xfId="1" applyFont="1" applyBorder="1" applyAlignment="1">
      <alignment horizontal="left" vertical="top" wrapText="1"/>
    </xf>
    <xf numFmtId="43" fontId="35" fillId="24" borderId="53" xfId="1" applyFont="1" applyFill="1" applyBorder="1" applyAlignment="1">
      <alignment horizontal="left" vertical="top" wrapText="1"/>
    </xf>
    <xf numFmtId="0" fontId="22" fillId="0" borderId="3" xfId="0" applyNumberFormat="1" applyFont="1" applyFill="1" applyBorder="1" applyAlignment="1">
      <alignment horizontal="center" wrapText="1"/>
    </xf>
    <xf numFmtId="0" fontId="25" fillId="5" borderId="27" xfId="0" applyFont="1" applyFill="1" applyBorder="1" applyAlignment="1">
      <alignment vertical="center" wrapText="1"/>
    </xf>
    <xf numFmtId="0" fontId="22" fillId="24" borderId="20" xfId="0" applyFont="1" applyFill="1" applyBorder="1" applyAlignment="1">
      <alignment horizontal="left" vertical="top" wrapText="1"/>
    </xf>
    <xf numFmtId="0" fontId="27" fillId="24" borderId="20" xfId="0" applyFont="1" applyFill="1" applyBorder="1" applyAlignment="1">
      <alignment horizontal="left" vertical="top" wrapText="1"/>
    </xf>
    <xf numFmtId="0" fontId="27" fillId="13" borderId="20" xfId="0" applyFont="1" applyFill="1" applyBorder="1" applyAlignment="1">
      <alignment horizontal="left" vertical="top" wrapText="1"/>
    </xf>
    <xf numFmtId="0" fontId="43" fillId="0" borderId="20" xfId="0" applyFont="1" applyBorder="1" applyAlignment="1">
      <alignment horizontal="left" vertical="top" wrapText="1"/>
    </xf>
    <xf numFmtId="0" fontId="22" fillId="0" borderId="20" xfId="0" applyFont="1" applyBorder="1" applyAlignment="1">
      <alignment horizontal="left" vertical="top" wrapText="1"/>
    </xf>
    <xf numFmtId="0" fontId="22" fillId="2" borderId="20" xfId="0" applyFont="1" applyFill="1" applyBorder="1" applyAlignment="1">
      <alignment horizontal="left" vertical="top" wrapText="1"/>
    </xf>
    <xf numFmtId="0" fontId="22" fillId="16" borderId="20" xfId="0" applyFont="1" applyFill="1" applyBorder="1" applyAlignment="1">
      <alignment horizontal="left" vertical="top" wrapText="1"/>
    </xf>
    <xf numFmtId="0" fontId="27" fillId="20" borderId="20" xfId="0" applyFont="1" applyFill="1" applyBorder="1" applyAlignment="1">
      <alignment horizontal="left" vertical="top" wrapText="1"/>
    </xf>
    <xf numFmtId="0" fontId="27" fillId="28" borderId="20" xfId="0" applyFont="1" applyFill="1" applyBorder="1" applyAlignment="1">
      <alignment horizontal="left" vertical="top" wrapText="1"/>
    </xf>
    <xf numFmtId="0" fontId="22" fillId="15" borderId="20" xfId="0" applyFont="1" applyFill="1" applyBorder="1" applyAlignment="1">
      <alignment horizontal="left" vertical="top" wrapText="1"/>
    </xf>
    <xf numFmtId="0" fontId="27" fillId="16" borderId="20" xfId="0" applyFont="1" applyFill="1" applyBorder="1" applyAlignment="1">
      <alignment horizontal="left" vertical="top" wrapText="1"/>
    </xf>
    <xf numFmtId="0" fontId="12" fillId="10" borderId="27" xfId="0" applyFont="1" applyFill="1" applyBorder="1" applyAlignment="1">
      <alignment horizontal="left" vertical="top" wrapText="1"/>
    </xf>
    <xf numFmtId="43" fontId="12" fillId="10" borderId="27" xfId="1" applyFont="1" applyFill="1" applyBorder="1" applyAlignment="1">
      <alignment horizontal="left" vertical="top" wrapText="1"/>
    </xf>
    <xf numFmtId="43" fontId="12" fillId="26" borderId="27" xfId="1" applyFont="1" applyFill="1" applyBorder="1" applyAlignment="1">
      <alignment horizontal="left" vertical="top" wrapText="1"/>
    </xf>
    <xf numFmtId="43" fontId="12" fillId="5" borderId="27" xfId="1" applyFont="1" applyFill="1" applyBorder="1" applyAlignment="1">
      <alignment horizontal="left" vertical="top" wrapText="1"/>
    </xf>
    <xf numFmtId="43" fontId="12" fillId="0" borderId="27" xfId="1" applyFont="1" applyFill="1" applyBorder="1" applyAlignment="1">
      <alignment horizontal="left" vertical="top" wrapText="1"/>
    </xf>
    <xf numFmtId="43" fontId="12" fillId="8" borderId="27" xfId="1" applyFont="1" applyFill="1" applyBorder="1" applyAlignment="1">
      <alignment horizontal="left" vertical="top" wrapText="1"/>
    </xf>
    <xf numFmtId="0" fontId="27" fillId="20" borderId="27" xfId="0" applyFont="1" applyFill="1" applyBorder="1" applyAlignment="1">
      <alignment horizontal="left" vertical="top" wrapText="1"/>
    </xf>
    <xf numFmtId="0" fontId="22" fillId="26" borderId="20" xfId="0" applyFont="1" applyFill="1" applyBorder="1" applyAlignment="1">
      <alignment horizontal="left" vertical="top" wrapText="1"/>
    </xf>
    <xf numFmtId="0" fontId="22" fillId="27" borderId="20" xfId="0" applyFont="1" applyFill="1" applyBorder="1" applyAlignment="1">
      <alignment horizontal="left" vertical="top" wrapText="1"/>
    </xf>
    <xf numFmtId="0" fontId="12" fillId="15" borderId="20" xfId="0" applyFont="1" applyFill="1" applyBorder="1" applyAlignment="1">
      <alignment horizontal="left" vertical="top" wrapText="1"/>
    </xf>
    <xf numFmtId="0" fontId="22" fillId="6" borderId="20" xfId="0" applyFont="1" applyFill="1" applyBorder="1" applyAlignment="1">
      <alignment horizontal="left" vertical="top" wrapText="1"/>
    </xf>
    <xf numFmtId="0" fontId="22" fillId="22" borderId="53" xfId="0" applyFont="1" applyFill="1" applyBorder="1" applyAlignment="1">
      <alignment horizontal="left" vertical="top" wrapText="1"/>
    </xf>
    <xf numFmtId="0" fontId="22" fillId="5" borderId="53" xfId="0" applyFont="1" applyFill="1" applyBorder="1" applyAlignment="1">
      <alignment horizontal="left" vertical="top" wrapText="1"/>
    </xf>
    <xf numFmtId="0" fontId="12" fillId="29" borderId="20" xfId="0" applyFont="1" applyFill="1" applyBorder="1" applyAlignment="1">
      <alignment horizontal="left" vertical="top" wrapText="1"/>
    </xf>
    <xf numFmtId="0" fontId="12" fillId="16" borderId="27" xfId="0" applyFont="1" applyFill="1" applyBorder="1" applyAlignment="1">
      <alignment horizontal="left" wrapText="1"/>
    </xf>
    <xf numFmtId="0" fontId="12" fillId="8" borderId="50" xfId="0" applyFont="1" applyFill="1" applyBorder="1" applyAlignment="1">
      <alignment vertical="top" wrapText="1"/>
    </xf>
    <xf numFmtId="0" fontId="12" fillId="17" borderId="20" xfId="0" applyFont="1" applyFill="1" applyBorder="1" applyAlignment="1">
      <alignment horizontal="center" wrapText="1"/>
    </xf>
    <xf numFmtId="0" fontId="40" fillId="26" borderId="20" xfId="0" applyFont="1" applyFill="1" applyBorder="1" applyAlignment="1">
      <alignment horizontal="left" wrapText="1"/>
    </xf>
    <xf numFmtId="0" fontId="22" fillId="20" borderId="20" xfId="0" applyFont="1" applyFill="1" applyBorder="1" applyAlignment="1">
      <alignment horizontal="left" vertical="top" wrapText="1"/>
    </xf>
    <xf numFmtId="0" fontId="12" fillId="8" borderId="0" xfId="0" applyFont="1" applyFill="1" applyBorder="1" applyAlignment="1">
      <alignment horizontal="left" wrapText="1"/>
    </xf>
    <xf numFmtId="0" fontId="12" fillId="23" borderId="20" xfId="0" applyFont="1" applyFill="1" applyBorder="1" applyAlignment="1">
      <alignment horizontal="left" vertical="top" wrapText="1"/>
    </xf>
    <xf numFmtId="0" fontId="27" fillId="20" borderId="0" xfId="0" applyFont="1" applyFill="1" applyBorder="1" applyAlignment="1">
      <alignment horizontal="left" vertical="top" wrapText="1"/>
    </xf>
    <xf numFmtId="0" fontId="42" fillId="0" borderId="0" xfId="0" applyFont="1" applyBorder="1" applyAlignment="1">
      <alignment wrapText="1"/>
    </xf>
    <xf numFmtId="43" fontId="27" fillId="8" borderId="28" xfId="1" applyFont="1" applyFill="1" applyBorder="1" applyAlignment="1">
      <alignment horizontal="left" vertical="top"/>
    </xf>
    <xf numFmtId="43" fontId="27" fillId="26" borderId="57" xfId="1" applyFont="1" applyFill="1" applyBorder="1" applyAlignment="1">
      <alignment horizontal="left"/>
    </xf>
    <xf numFmtId="43" fontId="27" fillId="8" borderId="32" xfId="1" applyFont="1" applyFill="1" applyBorder="1" applyAlignment="1">
      <alignment horizontal="left"/>
    </xf>
    <xf numFmtId="0" fontId="27" fillId="0" borderId="3" xfId="0" applyFont="1" applyBorder="1" applyAlignment="1">
      <alignment horizontal="left"/>
    </xf>
    <xf numFmtId="43" fontId="28" fillId="0" borderId="3" xfId="1" applyFont="1" applyBorder="1" applyAlignment="1">
      <alignment horizontal="left"/>
    </xf>
    <xf numFmtId="43" fontId="37" fillId="0" borderId="3" xfId="0" applyNumberFormat="1" applyFont="1" applyBorder="1" applyAlignment="1">
      <alignment vertical="top" wrapText="1"/>
    </xf>
    <xf numFmtId="43" fontId="28" fillId="0" borderId="3" xfId="1" applyFont="1" applyFill="1" applyBorder="1" applyAlignment="1">
      <alignment horizontal="left"/>
    </xf>
    <xf numFmtId="0" fontId="60" fillId="5" borderId="3" xfId="0" applyFont="1" applyFill="1" applyBorder="1" applyAlignment="1">
      <alignment vertical="center"/>
    </xf>
    <xf numFmtId="0" fontId="28" fillId="24" borderId="3" xfId="0" applyFont="1" applyFill="1" applyBorder="1" applyAlignment="1">
      <alignment horizontal="left"/>
    </xf>
    <xf numFmtId="0" fontId="28" fillId="13" borderId="3" xfId="0" applyFont="1" applyFill="1" applyBorder="1" applyAlignment="1">
      <alignment horizontal="left"/>
    </xf>
    <xf numFmtId="0" fontId="28" fillId="0" borderId="3" xfId="0" applyFont="1" applyBorder="1" applyAlignment="1">
      <alignment horizontal="left"/>
    </xf>
    <xf numFmtId="0" fontId="27" fillId="2" borderId="3" xfId="0" applyFont="1" applyFill="1" applyBorder="1" applyAlignment="1">
      <alignment horizontal="left" vertical="top"/>
    </xf>
    <xf numFmtId="0" fontId="27" fillId="16" borderId="3" xfId="0" applyFont="1" applyFill="1" applyBorder="1" applyAlignment="1">
      <alignment horizontal="left" vertical="top"/>
    </xf>
    <xf numFmtId="0" fontId="27" fillId="15" borderId="3" xfId="0" applyFont="1" applyFill="1" applyBorder="1" applyAlignment="1">
      <alignment horizontal="left" vertical="top"/>
    </xf>
    <xf numFmtId="0" fontId="27" fillId="10" borderId="3" xfId="0" applyFont="1" applyFill="1" applyBorder="1" applyAlignment="1">
      <alignment horizontal="center"/>
    </xf>
    <xf numFmtId="43" fontId="27" fillId="10" borderId="3" xfId="1" applyFont="1" applyFill="1" applyBorder="1" applyAlignment="1">
      <alignment horizontal="left" vertical="top"/>
    </xf>
    <xf numFmtId="43" fontId="27" fillId="26" borderId="3" xfId="1" applyFont="1" applyFill="1" applyBorder="1" applyAlignment="1">
      <alignment horizontal="left" vertical="top"/>
    </xf>
    <xf numFmtId="43" fontId="27" fillId="5" borderId="3" xfId="1" applyFont="1" applyFill="1" applyBorder="1" applyAlignment="1">
      <alignment horizontal="left" vertical="top"/>
    </xf>
    <xf numFmtId="43" fontId="27" fillId="0" borderId="3" xfId="1" applyFont="1" applyFill="1" applyBorder="1" applyAlignment="1">
      <alignment horizontal="left" vertical="top"/>
    </xf>
    <xf numFmtId="43" fontId="27" fillId="8" borderId="3" xfId="1" applyFont="1" applyFill="1" applyBorder="1" applyAlignment="1">
      <alignment horizontal="left" vertical="top"/>
    </xf>
    <xf numFmtId="0" fontId="27" fillId="20" borderId="3" xfId="0" applyFont="1" applyFill="1" applyBorder="1" applyAlignment="1">
      <alignment horizontal="center"/>
    </xf>
    <xf numFmtId="0" fontId="27" fillId="26" borderId="3" xfId="0" applyFont="1" applyFill="1" applyBorder="1" applyAlignment="1">
      <alignment horizontal="center"/>
    </xf>
    <xf numFmtId="0" fontId="27" fillId="27" borderId="3" xfId="0" applyFont="1" applyFill="1" applyBorder="1" applyAlignment="1">
      <alignment horizontal="left" vertical="top"/>
    </xf>
    <xf numFmtId="0" fontId="27" fillId="6" borderId="3" xfId="0" applyFont="1" applyFill="1" applyBorder="1" applyAlignment="1">
      <alignment horizontal="left" vertical="top"/>
    </xf>
    <xf numFmtId="0" fontId="37" fillId="0" borderId="3" xfId="0" applyFont="1" applyBorder="1" applyAlignment="1">
      <alignment vertical="center" wrapText="1"/>
    </xf>
    <xf numFmtId="0" fontId="27" fillId="29" borderId="3" xfId="0" applyFont="1" applyFill="1" applyBorder="1" applyAlignment="1">
      <alignment horizontal="left" vertical="top"/>
    </xf>
    <xf numFmtId="0" fontId="27" fillId="16" borderId="3" xfId="0" applyFont="1" applyFill="1" applyBorder="1" applyAlignment="1">
      <alignment horizontal="left"/>
    </xf>
    <xf numFmtId="0" fontId="27" fillId="8" borderId="0" xfId="0" applyFont="1" applyFill="1" applyBorder="1" applyAlignment="1">
      <alignment vertical="top"/>
    </xf>
    <xf numFmtId="0" fontId="27" fillId="17" borderId="3" xfId="0" applyFont="1" applyFill="1" applyBorder="1" applyAlignment="1">
      <alignment horizontal="center"/>
    </xf>
    <xf numFmtId="0" fontId="27" fillId="26" borderId="3" xfId="0" applyFont="1" applyFill="1" applyBorder="1" applyAlignment="1">
      <alignment horizontal="left"/>
    </xf>
    <xf numFmtId="43" fontId="27" fillId="8" borderId="3" xfId="1" applyFont="1" applyFill="1" applyBorder="1" applyAlignment="1">
      <alignment horizontal="left"/>
    </xf>
    <xf numFmtId="0" fontId="27" fillId="0" borderId="3" xfId="0" applyFont="1" applyBorder="1" applyAlignment="1">
      <alignment horizontal="left" vertical="top"/>
    </xf>
    <xf numFmtId="0" fontId="27" fillId="23" borderId="3" xfId="0" applyFont="1" applyFill="1" applyBorder="1" applyAlignment="1">
      <alignment horizontal="left" vertical="top"/>
    </xf>
    <xf numFmtId="0" fontId="28" fillId="0" borderId="3" xfId="0" applyFont="1" applyBorder="1" applyAlignment="1">
      <alignment horizontal="center"/>
    </xf>
    <xf numFmtId="0" fontId="33" fillId="0" borderId="0" xfId="0" applyFont="1" applyBorder="1"/>
    <xf numFmtId="0" fontId="28" fillId="24" borderId="31" xfId="0" applyFont="1" applyFill="1" applyBorder="1" applyAlignment="1">
      <alignment horizontal="left"/>
    </xf>
    <xf numFmtId="0" fontId="28" fillId="13" borderId="31" xfId="0" applyFont="1" applyFill="1" applyBorder="1" applyAlignment="1">
      <alignment horizontal="left"/>
    </xf>
    <xf numFmtId="0" fontId="28" fillId="0" borderId="31" xfId="0" applyFont="1" applyBorder="1" applyAlignment="1">
      <alignment horizontal="left"/>
    </xf>
    <xf numFmtId="0" fontId="27" fillId="0" borderId="31" xfId="0" applyFont="1" applyBorder="1" applyAlignment="1">
      <alignment horizontal="left"/>
    </xf>
    <xf numFmtId="0" fontId="37" fillId="0" borderId="62" xfId="0" applyFont="1" applyBorder="1" applyAlignment="1">
      <alignment vertical="top" wrapText="1"/>
    </xf>
    <xf numFmtId="0" fontId="37" fillId="0" borderId="62" xfId="0" applyFont="1" applyFill="1" applyBorder="1" applyAlignment="1">
      <alignment vertical="top" wrapText="1"/>
    </xf>
    <xf numFmtId="0" fontId="27" fillId="2" borderId="31" xfId="0" applyFont="1" applyFill="1" applyBorder="1" applyAlignment="1">
      <alignment horizontal="left" vertical="top"/>
    </xf>
    <xf numFmtId="0" fontId="27" fillId="16" borderId="31" xfId="0" applyFont="1" applyFill="1" applyBorder="1" applyAlignment="1">
      <alignment horizontal="left" vertical="top"/>
    </xf>
    <xf numFmtId="0" fontId="27" fillId="15" borderId="31" xfId="0" applyFont="1" applyFill="1" applyBorder="1" applyAlignment="1">
      <alignment horizontal="left" vertical="top"/>
    </xf>
    <xf numFmtId="0" fontId="27" fillId="10" borderId="31" xfId="0" applyFont="1" applyFill="1" applyBorder="1" applyAlignment="1">
      <alignment horizontal="center"/>
    </xf>
    <xf numFmtId="43" fontId="27" fillId="10" borderId="31" xfId="1" applyFont="1" applyFill="1" applyBorder="1" applyAlignment="1">
      <alignment horizontal="left" vertical="top"/>
    </xf>
    <xf numFmtId="43" fontId="27" fillId="26" borderId="31" xfId="1" applyFont="1" applyFill="1" applyBorder="1" applyAlignment="1">
      <alignment horizontal="left" vertical="top"/>
    </xf>
    <xf numFmtId="43" fontId="27" fillId="5" borderId="31" xfId="1" applyFont="1" applyFill="1" applyBorder="1" applyAlignment="1">
      <alignment horizontal="left" vertical="top"/>
    </xf>
    <xf numFmtId="43" fontId="27" fillId="0" borderId="31" xfId="1" applyFont="1" applyFill="1" applyBorder="1" applyAlignment="1">
      <alignment horizontal="left" vertical="top"/>
    </xf>
    <xf numFmtId="43" fontId="27" fillId="8" borderId="31" xfId="1" applyFont="1" applyFill="1" applyBorder="1" applyAlignment="1">
      <alignment horizontal="left" vertical="top"/>
    </xf>
    <xf numFmtId="0" fontId="27" fillId="20" borderId="28" xfId="0" applyFont="1" applyFill="1" applyBorder="1" applyAlignment="1">
      <alignment horizontal="center"/>
    </xf>
    <xf numFmtId="0" fontId="27" fillId="26" borderId="31" xfId="0" applyFont="1" applyFill="1" applyBorder="1" applyAlignment="1">
      <alignment horizontal="center"/>
    </xf>
    <xf numFmtId="0" fontId="27" fillId="27" borderId="31" xfId="0" applyFont="1" applyFill="1" applyBorder="1" applyAlignment="1">
      <alignment horizontal="left" vertical="top"/>
    </xf>
    <xf numFmtId="0" fontId="27" fillId="6" borderId="31" xfId="0" applyFont="1" applyFill="1" applyBorder="1" applyAlignment="1">
      <alignment horizontal="left" vertical="top"/>
    </xf>
    <xf numFmtId="0" fontId="27" fillId="29" borderId="31" xfId="0" applyFont="1" applyFill="1" applyBorder="1" applyAlignment="1">
      <alignment horizontal="left" vertical="top"/>
    </xf>
    <xf numFmtId="0" fontId="27" fillId="16" borderId="31" xfId="0" applyFont="1" applyFill="1" applyBorder="1" applyAlignment="1">
      <alignment horizontal="left"/>
    </xf>
    <xf numFmtId="0" fontId="27" fillId="17" borderId="31" xfId="0" applyFont="1" applyFill="1" applyBorder="1" applyAlignment="1">
      <alignment horizontal="center"/>
    </xf>
    <xf numFmtId="0" fontId="27" fillId="26" borderId="31" xfId="0" applyFont="1" applyFill="1" applyBorder="1" applyAlignment="1">
      <alignment horizontal="left"/>
    </xf>
    <xf numFmtId="43" fontId="27" fillId="8" borderId="31" xfId="1" applyFont="1" applyFill="1" applyBorder="1" applyAlignment="1">
      <alignment horizontal="left"/>
    </xf>
    <xf numFmtId="0" fontId="27" fillId="0" borderId="31" xfId="0" applyFont="1" applyBorder="1" applyAlignment="1">
      <alignment horizontal="left" vertical="top"/>
    </xf>
    <xf numFmtId="0" fontId="27" fillId="23" borderId="31" xfId="0" applyFont="1" applyFill="1" applyBorder="1" applyAlignment="1">
      <alignment horizontal="left" vertical="top"/>
    </xf>
    <xf numFmtId="0" fontId="37" fillId="0" borderId="0" xfId="0" applyFont="1" applyBorder="1" applyAlignment="1">
      <alignment vertical="top" wrapText="1"/>
    </xf>
    <xf numFmtId="0" fontId="28" fillId="0" borderId="31" xfId="0" applyFont="1" applyBorder="1" applyAlignment="1">
      <alignment horizontal="center"/>
    </xf>
    <xf numFmtId="0" fontId="15" fillId="7" borderId="3" xfId="0" applyFont="1" applyFill="1" applyBorder="1" applyAlignment="1">
      <alignment vertical="top" wrapText="1"/>
    </xf>
    <xf numFmtId="0" fontId="15" fillId="0" borderId="3" xfId="0" applyFont="1" applyBorder="1" applyAlignment="1">
      <alignment vertical="top" wrapText="1"/>
    </xf>
    <xf numFmtId="0" fontId="15" fillId="0" borderId="3" xfId="0" applyFont="1" applyBorder="1" applyAlignment="1">
      <alignment vertical="top"/>
    </xf>
    <xf numFmtId="43" fontId="48" fillId="0" borderId="9" xfId="1" applyFont="1" applyFill="1" applyBorder="1" applyAlignment="1" applyProtection="1">
      <alignment horizontal="center" vertical="center" wrapText="1"/>
      <protection locked="0"/>
    </xf>
    <xf numFmtId="15" fontId="63" fillId="0" borderId="9" xfId="0" applyNumberFormat="1" applyFont="1" applyFill="1" applyBorder="1"/>
    <xf numFmtId="168" fontId="64" fillId="0" borderId="9" xfId="1" applyNumberFormat="1" applyFont="1" applyFill="1" applyBorder="1" applyAlignment="1">
      <alignment horizontal="center" vertical="center"/>
    </xf>
    <xf numFmtId="168" fontId="64" fillId="0" borderId="9" xfId="0" applyNumberFormat="1" applyFont="1" applyFill="1" applyBorder="1" applyAlignment="1">
      <alignment horizontal="center" vertical="center"/>
    </xf>
    <xf numFmtId="4" fontId="65" fillId="0" borderId="10" xfId="0" applyNumberFormat="1" applyFont="1" applyBorder="1" applyAlignment="1">
      <alignment vertical="top" wrapText="1"/>
    </xf>
    <xf numFmtId="168" fontId="64" fillId="0" borderId="62" xfId="0" applyNumberFormat="1" applyFont="1" applyFill="1" applyBorder="1" applyAlignment="1">
      <alignment horizontal="center" vertical="center"/>
    </xf>
    <xf numFmtId="168" fontId="64" fillId="0" borderId="3" xfId="0" applyNumberFormat="1" applyFont="1" applyFill="1" applyBorder="1" applyAlignment="1">
      <alignment horizontal="center" vertical="center"/>
    </xf>
    <xf numFmtId="0" fontId="67" fillId="0" borderId="53" xfId="0" applyFont="1" applyBorder="1" applyAlignment="1">
      <alignment horizontal="left" wrapText="1"/>
    </xf>
    <xf numFmtId="43" fontId="67" fillId="21" borderId="55" xfId="1" applyFont="1" applyFill="1" applyBorder="1" applyAlignment="1">
      <alignment horizontal="center" wrapText="1"/>
    </xf>
    <xf numFmtId="165" fontId="67" fillId="21" borderId="55" xfId="1" applyNumberFormat="1" applyFont="1" applyFill="1" applyBorder="1" applyAlignment="1">
      <alignment horizontal="center" wrapText="1"/>
    </xf>
    <xf numFmtId="0" fontId="67" fillId="21" borderId="55" xfId="0" applyFont="1" applyFill="1" applyBorder="1" applyAlignment="1">
      <alignment horizontal="center" wrapText="1"/>
    </xf>
    <xf numFmtId="43" fontId="67" fillId="21" borderId="57" xfId="1" applyFont="1" applyFill="1" applyBorder="1" applyAlignment="1">
      <alignment horizontal="center"/>
    </xf>
    <xf numFmtId="165" fontId="67" fillId="21" borderId="57" xfId="1" applyNumberFormat="1" applyFont="1" applyFill="1" applyBorder="1" applyAlignment="1">
      <alignment horizontal="center" wrapText="1"/>
    </xf>
    <xf numFmtId="0" fontId="67" fillId="21" borderId="57" xfId="0" applyFont="1" applyFill="1" applyBorder="1" applyAlignment="1">
      <alignment horizontal="center" wrapText="1"/>
    </xf>
    <xf numFmtId="43" fontId="67" fillId="21" borderId="57" xfId="1" applyFont="1" applyFill="1" applyBorder="1" applyAlignment="1">
      <alignment horizontal="center" wrapText="1"/>
    </xf>
    <xf numFmtId="43" fontId="67" fillId="21" borderId="53" xfId="1" applyFont="1" applyFill="1" applyBorder="1" applyAlignment="1">
      <alignment horizontal="center" wrapText="1"/>
    </xf>
    <xf numFmtId="165" fontId="68" fillId="21" borderId="53" xfId="1" applyNumberFormat="1" applyFont="1" applyFill="1" applyBorder="1" applyAlignment="1">
      <alignment horizontal="center" wrapText="1"/>
    </xf>
    <xf numFmtId="165" fontId="67" fillId="21" borderId="53" xfId="1" applyNumberFormat="1" applyFont="1" applyFill="1" applyBorder="1" applyAlignment="1">
      <alignment horizontal="center" wrapText="1"/>
    </xf>
    <xf numFmtId="0" fontId="67" fillId="21" borderId="53" xfId="0" applyFont="1" applyFill="1" applyBorder="1" applyAlignment="1">
      <alignment horizontal="center" wrapText="1"/>
    </xf>
    <xf numFmtId="0" fontId="67" fillId="0" borderId="48" xfId="0" applyFont="1" applyBorder="1" applyAlignment="1">
      <alignment horizontal="center" wrapText="1"/>
    </xf>
    <xf numFmtId="0" fontId="67" fillId="0" borderId="53" xfId="0" applyFont="1" applyBorder="1" applyAlignment="1">
      <alignment horizontal="center" wrapText="1"/>
    </xf>
    <xf numFmtId="43" fontId="67" fillId="0" borderId="53" xfId="1" applyFont="1" applyBorder="1" applyAlignment="1">
      <alignment horizontal="right" wrapText="1"/>
    </xf>
    <xf numFmtId="43" fontId="67" fillId="0" borderId="53" xfId="1" applyFont="1" applyFill="1" applyBorder="1" applyAlignment="1">
      <alignment horizontal="right" wrapText="1"/>
    </xf>
    <xf numFmtId="43" fontId="43" fillId="0" borderId="53" xfId="1" applyNumberFormat="1" applyFont="1" applyBorder="1" applyAlignment="1"/>
    <xf numFmtId="43" fontId="43" fillId="2" borderId="53" xfId="1" applyNumberFormat="1" applyFont="1" applyFill="1" applyBorder="1" applyAlignment="1"/>
    <xf numFmtId="0" fontId="22" fillId="16" borderId="4" xfId="0" applyFont="1" applyFill="1" applyBorder="1" applyAlignment="1">
      <alignment horizontal="left" vertical="top"/>
    </xf>
    <xf numFmtId="0" fontId="12" fillId="16" borderId="4" xfId="0" applyFont="1" applyFill="1" applyBorder="1" applyAlignment="1">
      <alignment horizontal="left" vertical="top"/>
    </xf>
    <xf numFmtId="0" fontId="22" fillId="16" borderId="57" xfId="0" applyFont="1" applyFill="1" applyBorder="1" applyAlignment="1">
      <alignment horizontal="center"/>
    </xf>
    <xf numFmtId="43" fontId="22" fillId="16" borderId="57" xfId="1" applyFont="1" applyFill="1" applyBorder="1" applyAlignment="1">
      <alignment horizontal="left"/>
    </xf>
    <xf numFmtId="43" fontId="22" fillId="16" borderId="57" xfId="0" applyNumberFormat="1" applyFont="1" applyFill="1" applyBorder="1" applyAlignment="1">
      <alignment horizontal="left" wrapText="1"/>
    </xf>
    <xf numFmtId="0" fontId="22" fillId="16" borderId="57" xfId="0" applyFont="1" applyFill="1" applyBorder="1" applyAlignment="1">
      <alignment horizontal="left" wrapText="1"/>
    </xf>
    <xf numFmtId="0" fontId="42" fillId="0" borderId="3" xfId="0" applyFont="1" applyFill="1" applyBorder="1"/>
    <xf numFmtId="0" fontId="12" fillId="0" borderId="3" xfId="0" applyFont="1" applyFill="1" applyBorder="1" applyAlignment="1">
      <alignment horizontal="left" vertical="top"/>
    </xf>
    <xf numFmtId="0" fontId="22" fillId="0" borderId="3" xfId="0" applyFont="1" applyFill="1" applyBorder="1" applyAlignment="1">
      <alignment horizontal="center"/>
    </xf>
    <xf numFmtId="43" fontId="22" fillId="0" borderId="3" xfId="1" applyFont="1" applyFill="1" applyBorder="1" applyAlignment="1">
      <alignment horizontal="left"/>
    </xf>
    <xf numFmtId="43" fontId="22" fillId="0" borderId="3" xfId="0" applyNumberFormat="1" applyFont="1" applyFill="1" applyBorder="1" applyAlignment="1">
      <alignment horizontal="left" wrapText="1"/>
    </xf>
    <xf numFmtId="0" fontId="22" fillId="0" borderId="3" xfId="0" applyFont="1" applyFill="1" applyBorder="1" applyAlignment="1">
      <alignment horizontal="left" wrapText="1"/>
    </xf>
    <xf numFmtId="0" fontId="42" fillId="0" borderId="3" xfId="0" applyFont="1" applyFill="1" applyBorder="1" applyAlignment="1">
      <alignment wrapText="1"/>
    </xf>
    <xf numFmtId="0" fontId="12" fillId="16" borderId="29" xfId="0" applyFont="1" applyFill="1" applyBorder="1" applyAlignment="1">
      <alignment horizontal="left" vertical="top" wrapText="1"/>
    </xf>
    <xf numFmtId="0" fontId="27" fillId="16" borderId="4" xfId="0" applyFont="1" applyFill="1" applyBorder="1" applyAlignment="1">
      <alignment horizontal="center"/>
    </xf>
    <xf numFmtId="0" fontId="27" fillId="16" borderId="30" xfId="0" applyFont="1" applyFill="1" applyBorder="1" applyAlignment="1">
      <alignment horizontal="center"/>
    </xf>
    <xf numFmtId="43" fontId="22" fillId="16" borderId="4" xfId="1" applyFont="1" applyFill="1" applyBorder="1" applyAlignment="1">
      <alignment horizontal="center"/>
    </xf>
    <xf numFmtId="0" fontId="22" fillId="16" borderId="4" xfId="0" applyFont="1" applyFill="1" applyBorder="1" applyAlignment="1">
      <alignment horizontal="center"/>
    </xf>
    <xf numFmtId="43" fontId="15" fillId="16" borderId="4" xfId="1" applyFont="1" applyFill="1" applyBorder="1" applyAlignment="1">
      <alignment horizontal="left"/>
    </xf>
    <xf numFmtId="43" fontId="22" fillId="16" borderId="44" xfId="0" applyNumberFormat="1" applyFont="1" applyFill="1" applyBorder="1" applyAlignment="1">
      <alignment horizontal="left" wrapText="1"/>
    </xf>
    <xf numFmtId="0" fontId="27" fillId="0" borderId="3" xfId="0" applyFont="1" applyFill="1" applyBorder="1" applyAlignment="1">
      <alignment horizontal="center"/>
    </xf>
    <xf numFmtId="43" fontId="22" fillId="0" borderId="3" xfId="1" applyFont="1" applyFill="1" applyBorder="1" applyAlignment="1">
      <alignment horizontal="center"/>
    </xf>
    <xf numFmtId="0" fontId="22" fillId="0" borderId="3" xfId="0" applyFont="1" applyFill="1" applyBorder="1" applyAlignment="1">
      <alignment horizontal="left" vertical="top" wrapText="1"/>
    </xf>
    <xf numFmtId="0" fontId="27" fillId="0" borderId="3" xfId="0" applyFont="1" applyFill="1" applyBorder="1" applyAlignment="1">
      <alignment horizontal="left" vertical="top"/>
    </xf>
    <xf numFmtId="43" fontId="22" fillId="0" borderId="3" xfId="0" applyNumberFormat="1" applyFont="1" applyFill="1" applyBorder="1" applyAlignment="1">
      <alignment horizontal="left" vertical="top"/>
    </xf>
    <xf numFmtId="43" fontId="35" fillId="0" borderId="0" xfId="1" applyFont="1" applyBorder="1" applyAlignment="1">
      <alignment horizontal="left" vertical="top" wrapText="1"/>
    </xf>
    <xf numFmtId="166" fontId="37" fillId="0" borderId="3" xfId="0" applyNumberFormat="1" applyFont="1" applyBorder="1" applyAlignment="1">
      <alignment vertical="top" wrapText="1"/>
    </xf>
    <xf numFmtId="166" fontId="28" fillId="0" borderId="3" xfId="1" applyNumberFormat="1" applyFont="1" applyBorder="1" applyAlignment="1">
      <alignment horizontal="left"/>
    </xf>
    <xf numFmtId="166" fontId="22" fillId="0" borderId="53" xfId="1" applyNumberFormat="1" applyFont="1" applyBorder="1" applyAlignment="1">
      <alignment horizontal="left"/>
    </xf>
    <xf numFmtId="166" fontId="43" fillId="0" borderId="53" xfId="1" applyNumberFormat="1" applyFont="1" applyBorder="1" applyAlignment="1">
      <alignment horizontal="left"/>
    </xf>
    <xf numFmtId="166" fontId="43" fillId="0" borderId="28" xfId="1" applyNumberFormat="1" applyFont="1" applyBorder="1" applyAlignment="1">
      <alignment horizontal="left"/>
    </xf>
    <xf numFmtId="43" fontId="43" fillId="7" borderId="28" xfId="1" applyFont="1" applyFill="1" applyBorder="1"/>
    <xf numFmtId="166" fontId="43" fillId="7" borderId="28" xfId="1" applyNumberFormat="1" applyFont="1" applyFill="1" applyBorder="1"/>
    <xf numFmtId="166" fontId="43" fillId="0" borderId="0" xfId="1" applyNumberFormat="1" applyFont="1" applyBorder="1" applyAlignment="1">
      <alignment horizontal="left"/>
    </xf>
    <xf numFmtId="166" fontId="43" fillId="0" borderId="57" xfId="1" applyNumberFormat="1" applyFont="1" applyBorder="1" applyAlignment="1">
      <alignment horizontal="left"/>
    </xf>
    <xf numFmtId="166" fontId="43" fillId="0" borderId="0" xfId="1" applyNumberFormat="1" applyFont="1" applyFill="1" applyBorder="1" applyAlignment="1">
      <alignment horizontal="left"/>
    </xf>
    <xf numFmtId="43" fontId="43" fillId="0" borderId="28" xfId="1" applyFont="1" applyFill="1" applyBorder="1"/>
    <xf numFmtId="166" fontId="43" fillId="0" borderId="28" xfId="1" applyNumberFormat="1" applyFont="1" applyFill="1" applyBorder="1"/>
    <xf numFmtId="166" fontId="22" fillId="0" borderId="53" xfId="1" applyNumberFormat="1" applyFont="1" applyFill="1" applyBorder="1" applyAlignment="1">
      <alignment horizontal="left" vertical="top"/>
    </xf>
    <xf numFmtId="9" fontId="2" fillId="0" borderId="0" xfId="0" applyNumberFormat="1" applyFont="1"/>
    <xf numFmtId="43" fontId="70" fillId="21" borderId="53" xfId="0" applyNumberFormat="1" applyFont="1" applyFill="1" applyBorder="1" applyAlignment="1">
      <alignment horizontal="left" vertical="top" wrapText="1"/>
    </xf>
    <xf numFmtId="0" fontId="6" fillId="0" borderId="53" xfId="0" applyFont="1" applyBorder="1" applyAlignment="1">
      <alignment vertical="center" wrapText="1"/>
    </xf>
    <xf numFmtId="0" fontId="35" fillId="0" borderId="0" xfId="0" applyFont="1" applyAlignment="1">
      <alignment horizontal="left" vertical="center"/>
    </xf>
    <xf numFmtId="0" fontId="35" fillId="21" borderId="55" xfId="0" applyFont="1" applyFill="1" applyBorder="1" applyAlignment="1">
      <alignment horizontal="left" wrapText="1"/>
    </xf>
    <xf numFmtId="0" fontId="35" fillId="21" borderId="57" xfId="0" applyFont="1" applyFill="1" applyBorder="1" applyAlignment="1">
      <alignment horizontal="left" wrapText="1"/>
    </xf>
    <xf numFmtId="0" fontId="33" fillId="21" borderId="53" xfId="0" applyFont="1" applyFill="1" applyBorder="1" applyAlignment="1">
      <alignment wrapText="1"/>
    </xf>
    <xf numFmtId="0" fontId="35" fillId="21" borderId="53" xfId="0" applyFont="1" applyFill="1" applyBorder="1" applyAlignment="1">
      <alignment horizontal="left" wrapText="1"/>
    </xf>
    <xf numFmtId="0" fontId="35" fillId="0" borderId="54" xfId="0" applyFont="1" applyBorder="1" applyAlignment="1">
      <alignment wrapText="1"/>
    </xf>
    <xf numFmtId="0" fontId="35" fillId="0" borderId="3" xfId="0" applyFont="1" applyBorder="1" applyAlignment="1">
      <alignment wrapText="1"/>
    </xf>
    <xf numFmtId="0" fontId="35" fillId="0" borderId="57" xfId="0" applyFont="1" applyBorder="1" applyAlignment="1">
      <alignment horizontal="left" wrapText="1"/>
    </xf>
    <xf numFmtId="43" fontId="28" fillId="0" borderId="53" xfId="1" applyFont="1" applyBorder="1" applyAlignment="1">
      <alignment horizontal="right" wrapText="1"/>
    </xf>
    <xf numFmtId="0" fontId="35" fillId="0" borderId="3" xfId="0" applyFont="1" applyBorder="1" applyAlignment="1">
      <alignment horizontal="left" wrapText="1"/>
    </xf>
    <xf numFmtId="0" fontId="35" fillId="0" borderId="53" xfId="0" applyFont="1" applyBorder="1" applyAlignment="1">
      <alignment horizontal="left" wrapText="1"/>
    </xf>
    <xf numFmtId="0" fontId="35" fillId="0" borderId="55" xfId="0" applyFont="1" applyBorder="1" applyAlignment="1">
      <alignment wrapText="1"/>
    </xf>
    <xf numFmtId="43" fontId="27" fillId="0" borderId="53" xfId="1" applyFont="1" applyBorder="1" applyAlignment="1">
      <alignment horizontal="right" wrapText="1"/>
    </xf>
    <xf numFmtId="170" fontId="35" fillId="0" borderId="53" xfId="5" applyNumberFormat="1" applyFont="1" applyBorder="1" applyAlignment="1">
      <alignment horizontal="right" wrapText="1"/>
    </xf>
    <xf numFmtId="0" fontId="35" fillId="0" borderId="42" xfId="0" applyFont="1" applyBorder="1" applyAlignment="1">
      <alignment wrapText="1"/>
    </xf>
    <xf numFmtId="43" fontId="28" fillId="0" borderId="57" xfId="1" applyFont="1" applyBorder="1" applyAlignment="1">
      <alignment horizontal="right" wrapText="1"/>
    </xf>
    <xf numFmtId="0" fontId="35" fillId="0" borderId="20" xfId="0" applyFont="1" applyBorder="1" applyAlignment="1">
      <alignment horizontal="left" wrapText="1"/>
    </xf>
    <xf numFmtId="170" fontId="35" fillId="0" borderId="3" xfId="5" applyNumberFormat="1" applyFont="1" applyBorder="1" applyAlignment="1">
      <alignment horizontal="right" wrapText="1"/>
    </xf>
    <xf numFmtId="0" fontId="35" fillId="0" borderId="57" xfId="0" applyFont="1" applyBorder="1" applyAlignment="1">
      <alignment wrapText="1"/>
    </xf>
    <xf numFmtId="0" fontId="35" fillId="0" borderId="3" xfId="0" applyFont="1" applyBorder="1" applyAlignment="1">
      <alignment horizontal="right" wrapText="1"/>
    </xf>
    <xf numFmtId="0" fontId="35" fillId="0" borderId="0" xfId="0" applyFont="1" applyBorder="1" applyAlignment="1">
      <alignment horizontal="left" wrapText="1"/>
    </xf>
    <xf numFmtId="170" fontId="28" fillId="0" borderId="53" xfId="5" applyNumberFormat="1" applyFont="1" applyBorder="1" applyAlignment="1">
      <alignment horizontal="right" wrapText="1"/>
    </xf>
    <xf numFmtId="10" fontId="35" fillId="0" borderId="53" xfId="5" applyNumberFormat="1" applyFont="1" applyBorder="1" applyAlignment="1">
      <alignment horizontal="right" wrapText="1"/>
    </xf>
    <xf numFmtId="0" fontId="35" fillId="0" borderId="48" xfId="0" applyFont="1" applyBorder="1" applyAlignment="1">
      <alignment horizontal="right" wrapText="1"/>
    </xf>
    <xf numFmtId="4" fontId="28" fillId="0" borderId="53" xfId="0" applyNumberFormat="1" applyFont="1" applyBorder="1" applyAlignment="1">
      <alignment horizontal="right" wrapText="1"/>
    </xf>
    <xf numFmtId="0" fontId="49" fillId="3" borderId="10"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3" borderId="12"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3" borderId="12" xfId="0" applyFont="1" applyFill="1" applyBorder="1" applyAlignment="1">
      <alignment horizontal="center" vertical="center" wrapText="1"/>
    </xf>
    <xf numFmtId="43" fontId="51" fillId="0" borderId="9" xfId="1" applyFont="1" applyBorder="1" applyAlignment="1">
      <alignment horizontal="center"/>
    </xf>
    <xf numFmtId="43" fontId="48" fillId="11" borderId="9" xfId="1" applyFont="1" applyFill="1" applyBorder="1" applyAlignment="1">
      <alignment horizontal="center" vertical="center"/>
    </xf>
    <xf numFmtId="43" fontId="49" fillId="16" borderId="22" xfId="1" applyFont="1" applyFill="1" applyBorder="1" applyAlignment="1">
      <alignment horizontal="center" vertical="center" wrapText="1"/>
    </xf>
    <xf numFmtId="43" fontId="49" fillId="16" borderId="9" xfId="1" applyFont="1" applyFill="1" applyBorder="1" applyAlignment="1">
      <alignment horizontal="center" vertical="center" wrapText="1"/>
    </xf>
    <xf numFmtId="43" fontId="7" fillId="8" borderId="22" xfId="1" applyFont="1" applyFill="1" applyBorder="1" applyAlignment="1">
      <alignment horizontal="center"/>
    </xf>
    <xf numFmtId="43" fontId="49" fillId="23" borderId="3" xfId="1" applyFont="1" applyFill="1" applyBorder="1" applyAlignment="1">
      <alignment horizontal="center" vertical="center" wrapText="1"/>
    </xf>
    <xf numFmtId="49" fontId="71" fillId="11" borderId="9" xfId="0" applyNumberFormat="1" applyFont="1" applyFill="1" applyBorder="1" applyAlignment="1" applyProtection="1">
      <alignment vertical="center" wrapText="1"/>
      <protection locked="0"/>
    </xf>
    <xf numFmtId="0" fontId="70" fillId="16" borderId="8" xfId="0" applyFont="1" applyFill="1" applyBorder="1" applyAlignment="1">
      <alignment horizontal="left"/>
    </xf>
    <xf numFmtId="43" fontId="72" fillId="16" borderId="22" xfId="1" applyFont="1" applyFill="1" applyBorder="1" applyAlignment="1">
      <alignment horizontal="left" vertical="center" wrapText="1"/>
    </xf>
    <xf numFmtId="43" fontId="4" fillId="16" borderId="9" xfId="1" applyFont="1" applyFill="1" applyBorder="1" applyAlignment="1">
      <alignment horizontal="left" vertical="center" wrapText="1"/>
    </xf>
    <xf numFmtId="43" fontId="72" fillId="16" borderId="9" xfId="1" applyFont="1" applyFill="1" applyBorder="1" applyAlignment="1">
      <alignment horizontal="left" vertical="center" wrapText="1"/>
    </xf>
    <xf numFmtId="0" fontId="70" fillId="8" borderId="22" xfId="0" applyFont="1" applyFill="1" applyBorder="1" applyAlignment="1">
      <alignment horizontal="left"/>
    </xf>
    <xf numFmtId="49" fontId="48" fillId="8" borderId="8" xfId="0" applyNumberFormat="1" applyFont="1" applyFill="1" applyBorder="1" applyAlignment="1" applyProtection="1">
      <alignment horizontal="center" vertical="center" wrapText="1"/>
      <protection locked="0"/>
    </xf>
    <xf numFmtId="49" fontId="71" fillId="8" borderId="9" xfId="0" applyNumberFormat="1" applyFont="1" applyFill="1" applyBorder="1" applyAlignment="1" applyProtection="1">
      <alignment vertical="center" wrapText="1"/>
      <protection locked="0"/>
    </xf>
    <xf numFmtId="49" fontId="48" fillId="8" borderId="9" xfId="0" applyNumberFormat="1" applyFont="1" applyFill="1" applyBorder="1" applyAlignment="1">
      <alignment horizontal="center" vertical="center" wrapText="1"/>
    </xf>
    <xf numFmtId="43" fontId="48" fillId="8" borderId="9" xfId="1" applyFont="1" applyFill="1" applyBorder="1" applyAlignment="1">
      <alignment horizontal="center" vertical="center" wrapText="1"/>
    </xf>
    <xf numFmtId="0" fontId="48" fillId="8" borderId="9" xfId="0" applyFont="1" applyFill="1" applyBorder="1" applyAlignment="1">
      <alignment horizontal="center" vertical="center" wrapText="1"/>
    </xf>
    <xf numFmtId="43" fontId="48" fillId="8" borderId="9" xfId="1" applyFont="1" applyFill="1" applyBorder="1" applyAlignment="1">
      <alignment horizontal="center" wrapText="1"/>
    </xf>
    <xf numFmtId="43" fontId="48" fillId="8" borderId="9" xfId="1" applyFont="1" applyFill="1" applyBorder="1" applyAlignment="1">
      <alignment horizontal="center" vertical="center"/>
    </xf>
    <xf numFmtId="4" fontId="48" fillId="8" borderId="9" xfId="2" applyNumberFormat="1" applyFont="1" applyFill="1" applyBorder="1" applyAlignment="1">
      <alignment horizontal="center" vertical="center" wrapText="1"/>
    </xf>
    <xf numFmtId="49" fontId="28" fillId="8" borderId="9" xfId="0" applyNumberFormat="1" applyFont="1" applyFill="1" applyBorder="1" applyAlignment="1" applyProtection="1">
      <alignment horizontal="center" vertical="center" wrapText="1"/>
      <protection locked="0"/>
    </xf>
    <xf numFmtId="49" fontId="48" fillId="8" borderId="9" xfId="0" applyNumberFormat="1" applyFont="1" applyFill="1" applyBorder="1" applyAlignment="1">
      <alignment vertical="top" wrapText="1"/>
    </xf>
    <xf numFmtId="49" fontId="28" fillId="8" borderId="9" xfId="0" applyNumberFormat="1" applyFont="1" applyFill="1" applyBorder="1" applyAlignment="1" applyProtection="1">
      <alignment horizontal="center" vertical="center"/>
      <protection locked="0"/>
    </xf>
    <xf numFmtId="167" fontId="48" fillId="8" borderId="9" xfId="0" applyNumberFormat="1" applyFont="1" applyFill="1" applyBorder="1" applyAlignment="1">
      <alignment horizontal="center" vertical="center" wrapText="1"/>
    </xf>
    <xf numFmtId="49" fontId="28" fillId="8" borderId="62" xfId="0" applyNumberFormat="1" applyFont="1" applyFill="1" applyBorder="1" applyAlignment="1" applyProtection="1">
      <alignment horizontal="center" vertical="center"/>
      <protection locked="0"/>
    </xf>
    <xf numFmtId="167" fontId="48" fillId="8" borderId="3" xfId="0" applyNumberFormat="1" applyFont="1" applyFill="1" applyBorder="1" applyAlignment="1">
      <alignment horizontal="center" vertical="center" wrapText="1"/>
    </xf>
    <xf numFmtId="43" fontId="48" fillId="8" borderId="3" xfId="1" applyFont="1" applyFill="1" applyBorder="1" applyAlignment="1" applyProtection="1">
      <alignment horizontal="center" vertical="center" wrapText="1"/>
      <protection locked="0"/>
    </xf>
    <xf numFmtId="0" fontId="3" fillId="8" borderId="0" xfId="0" applyFont="1" applyFill="1"/>
    <xf numFmtId="165" fontId="3" fillId="8" borderId="24" xfId="1" applyNumberFormat="1" applyFont="1" applyFill="1" applyBorder="1"/>
    <xf numFmtId="0" fontId="3" fillId="8" borderId="25" xfId="0" applyFont="1" applyFill="1" applyBorder="1"/>
    <xf numFmtId="0" fontId="3" fillId="8" borderId="50" xfId="0" applyFont="1" applyFill="1" applyBorder="1"/>
    <xf numFmtId="0" fontId="3" fillId="8" borderId="26" xfId="0" applyFont="1" applyFill="1" applyBorder="1"/>
    <xf numFmtId="0" fontId="3" fillId="8" borderId="8" xfId="0" applyFont="1" applyFill="1" applyBorder="1" applyAlignment="1">
      <alignment horizontal="center"/>
    </xf>
    <xf numFmtId="0" fontId="13" fillId="8" borderId="9" xfId="0" applyFont="1" applyFill="1" applyBorder="1"/>
    <xf numFmtId="0" fontId="3" fillId="8" borderId="9" xfId="0" applyFont="1" applyFill="1" applyBorder="1"/>
    <xf numFmtId="43" fontId="3" fillId="8" borderId="9" xfId="1" applyFont="1" applyFill="1" applyBorder="1" applyAlignment="1">
      <alignment horizontal="center"/>
    </xf>
    <xf numFmtId="43" fontId="3" fillId="8" borderId="9" xfId="1" applyFont="1" applyFill="1" applyBorder="1"/>
    <xf numFmtId="169" fontId="3" fillId="8" borderId="9" xfId="0" applyNumberFormat="1" applyFont="1" applyFill="1" applyBorder="1"/>
    <xf numFmtId="43" fontId="3" fillId="8" borderId="9" xfId="0" applyNumberFormat="1" applyFont="1" applyFill="1" applyBorder="1"/>
    <xf numFmtId="0" fontId="3" fillId="8" borderId="9" xfId="0" applyFont="1" applyFill="1" applyBorder="1" applyAlignment="1">
      <alignment vertical="top"/>
    </xf>
    <xf numFmtId="0" fontId="3" fillId="8" borderId="9" xfId="0" applyFont="1" applyFill="1" applyBorder="1" applyAlignment="1">
      <alignment horizontal="center"/>
    </xf>
    <xf numFmtId="0" fontId="3" fillId="8" borderId="62" xfId="0" applyFont="1" applyFill="1" applyBorder="1" applyAlignment="1">
      <alignment horizontal="center"/>
    </xf>
    <xf numFmtId="0" fontId="3" fillId="8" borderId="3" xfId="0" applyFont="1" applyFill="1" applyBorder="1" applyAlignment="1">
      <alignment horizontal="center"/>
    </xf>
    <xf numFmtId="43" fontId="3" fillId="8" borderId="3" xfId="1" applyFont="1" applyFill="1" applyBorder="1"/>
    <xf numFmtId="43" fontId="3" fillId="8" borderId="50" xfId="0" applyNumberFormat="1" applyFont="1" applyFill="1" applyBorder="1"/>
    <xf numFmtId="43" fontId="3" fillId="8" borderId="0" xfId="0" applyNumberFormat="1" applyFont="1" applyFill="1"/>
    <xf numFmtId="0" fontId="3" fillId="8" borderId="3" xfId="0" applyFont="1" applyFill="1" applyBorder="1"/>
    <xf numFmtId="43" fontId="3" fillId="8" borderId="3" xfId="1" applyFont="1" applyFill="1" applyBorder="1" applyAlignment="1">
      <alignment horizontal="center"/>
    </xf>
    <xf numFmtId="0" fontId="3" fillId="8" borderId="3" xfId="0" applyFont="1" applyFill="1" applyBorder="1" applyAlignment="1">
      <alignment vertical="top"/>
    </xf>
    <xf numFmtId="165" fontId="3" fillId="8" borderId="0" xfId="1" applyNumberFormat="1" applyFont="1" applyFill="1"/>
    <xf numFmtId="165" fontId="49" fillId="8" borderId="8" xfId="1" applyNumberFormat="1" applyFont="1" applyFill="1" applyBorder="1" applyAlignment="1">
      <alignment horizontal="center" vertical="center" wrapText="1"/>
    </xf>
    <xf numFmtId="43" fontId="72" fillId="8" borderId="9" xfId="1" applyFont="1" applyFill="1" applyBorder="1" applyAlignment="1">
      <alignment horizontal="left" vertical="center" wrapText="1"/>
    </xf>
    <xf numFmtId="0" fontId="49" fillId="8" borderId="9" xfId="0" applyFont="1" applyFill="1" applyBorder="1" applyAlignment="1">
      <alignment horizontal="center" vertical="center" wrapText="1"/>
    </xf>
    <xf numFmtId="0" fontId="49" fillId="8" borderId="11" xfId="0" applyFont="1" applyFill="1" applyBorder="1" applyAlignment="1">
      <alignment horizontal="center" vertical="center" wrapText="1"/>
    </xf>
    <xf numFmtId="43" fontId="49" fillId="8" borderId="9" xfId="1" applyFont="1" applyFill="1" applyBorder="1" applyAlignment="1">
      <alignment horizontal="center" vertical="center" wrapText="1"/>
    </xf>
    <xf numFmtId="43" fontId="29" fillId="8" borderId="9" xfId="1" applyFont="1" applyFill="1" applyBorder="1" applyAlignment="1">
      <alignment horizontal="center" vertical="center"/>
    </xf>
    <xf numFmtId="15" fontId="3" fillId="8" borderId="9" xfId="0" applyNumberFormat="1" applyFont="1" applyFill="1" applyBorder="1"/>
    <xf numFmtId="168" fontId="3" fillId="8" borderId="9" xfId="0" applyNumberFormat="1" applyFont="1" applyFill="1" applyBorder="1" applyAlignment="1">
      <alignment horizontal="center"/>
    </xf>
    <xf numFmtId="168" fontId="37" fillId="8" borderId="9" xfId="0" applyNumberFormat="1" applyFont="1" applyFill="1" applyBorder="1" applyAlignment="1">
      <alignment horizontal="center" vertical="center"/>
    </xf>
    <xf numFmtId="4" fontId="3" fillId="8" borderId="9" xfId="0" applyNumberFormat="1" applyFont="1" applyFill="1" applyBorder="1" applyAlignment="1">
      <alignment horizontal="center"/>
    </xf>
    <xf numFmtId="15" fontId="3" fillId="8" borderId="62" xfId="0" applyNumberFormat="1" applyFont="1" applyFill="1" applyBorder="1" applyAlignment="1">
      <alignment horizontal="center"/>
    </xf>
    <xf numFmtId="15" fontId="3" fillId="8" borderId="3" xfId="0" applyNumberFormat="1" applyFont="1" applyFill="1" applyBorder="1" applyAlignment="1">
      <alignment horizontal="center"/>
    </xf>
    <xf numFmtId="43" fontId="70" fillId="8" borderId="10" xfId="1" applyFont="1" applyFill="1" applyBorder="1" applyAlignment="1">
      <alignment horizontal="left"/>
    </xf>
    <xf numFmtId="0" fontId="3" fillId="8" borderId="13" xfId="0" applyFont="1" applyFill="1" applyBorder="1" applyAlignment="1">
      <alignment horizontal="center"/>
    </xf>
    <xf numFmtId="0" fontId="3" fillId="8" borderId="22" xfId="0" applyFont="1" applyFill="1" applyBorder="1" applyAlignment="1">
      <alignment horizontal="center"/>
    </xf>
    <xf numFmtId="43" fontId="3" fillId="8" borderId="22" xfId="0" applyNumberFormat="1" applyFont="1" applyFill="1" applyBorder="1" applyAlignment="1">
      <alignment horizontal="center"/>
    </xf>
    <xf numFmtId="43" fontId="3" fillId="8" borderId="22" xfId="1" applyFont="1" applyFill="1" applyBorder="1" applyAlignment="1">
      <alignment horizontal="center"/>
    </xf>
    <xf numFmtId="0" fontId="3" fillId="8" borderId="61" xfId="0" applyFont="1" applyFill="1" applyBorder="1" applyAlignment="1">
      <alignment horizontal="center"/>
    </xf>
    <xf numFmtId="0" fontId="3" fillId="8" borderId="0" xfId="0" applyFont="1" applyFill="1" applyBorder="1" applyAlignment="1">
      <alignment horizontal="center"/>
    </xf>
    <xf numFmtId="43" fontId="3" fillId="8" borderId="0" xfId="1" applyFont="1" applyFill="1" applyBorder="1" applyAlignment="1">
      <alignment horizontal="center"/>
    </xf>
    <xf numFmtId="0" fontId="3" fillId="8" borderId="0" xfId="0" applyFont="1" applyFill="1" applyBorder="1"/>
    <xf numFmtId="43" fontId="4" fillId="8" borderId="9" xfId="1" applyFont="1" applyFill="1" applyBorder="1" applyAlignment="1">
      <alignment horizontal="left" vertical="center" wrapText="1"/>
    </xf>
    <xf numFmtId="43" fontId="49" fillId="8" borderId="9" xfId="0" applyNumberFormat="1" applyFont="1" applyFill="1" applyBorder="1" applyAlignment="1">
      <alignment horizontal="center" vertical="center" wrapText="1"/>
    </xf>
    <xf numFmtId="43" fontId="29" fillId="8" borderId="10" xfId="1" applyFont="1" applyFill="1" applyBorder="1" applyAlignment="1">
      <alignment horizontal="center" vertical="center"/>
    </xf>
    <xf numFmtId="4" fontId="3" fillId="8" borderId="11" xfId="0" applyNumberFormat="1" applyFont="1" applyFill="1" applyBorder="1" applyAlignment="1"/>
    <xf numFmtId="168" fontId="37" fillId="8" borderId="62" xfId="0" applyNumberFormat="1" applyFont="1" applyFill="1" applyBorder="1" applyAlignment="1">
      <alignment horizontal="center" vertical="center"/>
    </xf>
    <xf numFmtId="43" fontId="49" fillId="8" borderId="11" xfId="1" applyFont="1" applyFill="1" applyBorder="1" applyAlignment="1">
      <alignment horizontal="center" vertical="center" wrapText="1"/>
    </xf>
    <xf numFmtId="43" fontId="3" fillId="8" borderId="27" xfId="1" applyFont="1" applyFill="1" applyBorder="1"/>
    <xf numFmtId="0" fontId="7" fillId="16" borderId="8" xfId="0" applyFont="1" applyFill="1" applyBorder="1" applyAlignment="1">
      <alignment horizontal="center"/>
    </xf>
    <xf numFmtId="0" fontId="13" fillId="16" borderId="9" xfId="0" applyFont="1" applyFill="1" applyBorder="1"/>
    <xf numFmtId="0" fontId="7" fillId="16" borderId="9" xfId="0" applyFont="1" applyFill="1" applyBorder="1"/>
    <xf numFmtId="43" fontId="7" fillId="16" borderId="9" xfId="1" applyFont="1" applyFill="1" applyBorder="1" applyAlignment="1">
      <alignment horizontal="center"/>
    </xf>
    <xf numFmtId="0" fontId="7" fillId="16" borderId="9" xfId="0" applyFont="1" applyFill="1" applyBorder="1" applyAlignment="1">
      <alignment vertical="top"/>
    </xf>
    <xf numFmtId="43" fontId="7" fillId="16" borderId="9" xfId="0" applyNumberFormat="1" applyFont="1" applyFill="1" applyBorder="1" applyAlignment="1">
      <alignment horizontal="center"/>
    </xf>
    <xf numFmtId="0" fontId="7" fillId="16" borderId="62" xfId="0" applyFont="1" applyFill="1" applyBorder="1" applyAlignment="1">
      <alignment horizontal="center"/>
    </xf>
    <xf numFmtId="0" fontId="7" fillId="16" borderId="3" xfId="0" applyFont="1" applyFill="1" applyBorder="1" applyAlignment="1">
      <alignment horizontal="center"/>
    </xf>
    <xf numFmtId="43" fontId="7" fillId="16" borderId="3" xfId="1" applyFont="1" applyFill="1" applyBorder="1"/>
    <xf numFmtId="43" fontId="7" fillId="16" borderId="0" xfId="0" applyNumberFormat="1" applyFont="1" applyFill="1"/>
    <xf numFmtId="165" fontId="7" fillId="16" borderId="24" xfId="1" applyNumberFormat="1" applyFont="1" applyFill="1" applyBorder="1"/>
    <xf numFmtId="43" fontId="7" fillId="16" borderId="25" xfId="0" applyNumberFormat="1" applyFont="1" applyFill="1" applyBorder="1"/>
    <xf numFmtId="43" fontId="7" fillId="16" borderId="50" xfId="0" applyNumberFormat="1" applyFont="1" applyFill="1" applyBorder="1"/>
    <xf numFmtId="0" fontId="7" fillId="16" borderId="26" xfId="0" applyFont="1" applyFill="1" applyBorder="1"/>
    <xf numFmtId="0" fontId="7" fillId="16" borderId="0" xfId="0" applyFont="1" applyFill="1"/>
    <xf numFmtId="0" fontId="70" fillId="16" borderId="3" xfId="0" applyFont="1" applyFill="1" applyBorder="1"/>
    <xf numFmtId="0" fontId="3" fillId="16" borderId="3" xfId="0" applyFont="1" applyFill="1" applyBorder="1"/>
    <xf numFmtId="0" fontId="3" fillId="16" borderId="3" xfId="0" applyFont="1" applyFill="1" applyBorder="1" applyAlignment="1">
      <alignment vertical="top"/>
    </xf>
    <xf numFmtId="0" fontId="28" fillId="16" borderId="3" xfId="0" applyFont="1" applyFill="1" applyBorder="1"/>
    <xf numFmtId="0" fontId="3" fillId="16" borderId="27" xfId="0" applyFont="1" applyFill="1" applyBorder="1" applyAlignment="1">
      <alignment horizontal="center"/>
    </xf>
    <xf numFmtId="0" fontId="37" fillId="27" borderId="62" xfId="0" applyFont="1" applyFill="1" applyBorder="1" applyAlignment="1">
      <alignment vertical="top" wrapText="1"/>
    </xf>
    <xf numFmtId="43" fontId="52" fillId="27" borderId="3" xfId="1" applyFont="1" applyFill="1" applyBorder="1" applyAlignment="1">
      <alignment vertical="top" wrapText="1"/>
    </xf>
    <xf numFmtId="43" fontId="37" fillId="27" borderId="3" xfId="0" applyNumberFormat="1" applyFont="1" applyFill="1" applyBorder="1" applyAlignment="1">
      <alignment vertical="top" wrapText="1"/>
    </xf>
    <xf numFmtId="43" fontId="28" fillId="27" borderId="3" xfId="1" applyFont="1" applyFill="1" applyBorder="1" applyAlignment="1">
      <alignment horizontal="left"/>
    </xf>
    <xf numFmtId="43" fontId="43" fillId="27" borderId="53" xfId="1" applyFont="1" applyFill="1" applyBorder="1" applyAlignment="1">
      <alignment horizontal="left"/>
    </xf>
    <xf numFmtId="43" fontId="43" fillId="27" borderId="20" xfId="1" applyFont="1" applyFill="1" applyBorder="1" applyAlignment="1">
      <alignment horizontal="left"/>
    </xf>
    <xf numFmtId="43" fontId="49" fillId="3" borderId="10" xfId="1" applyFont="1" applyFill="1" applyBorder="1" applyAlignment="1">
      <alignment vertical="center" wrapText="1"/>
    </xf>
    <xf numFmtId="43" fontId="49" fillId="3" borderId="11" xfId="1" applyFont="1" applyFill="1" applyBorder="1" applyAlignment="1">
      <alignment vertical="center" wrapText="1"/>
    </xf>
    <xf numFmtId="43" fontId="49" fillId="3" borderId="12" xfId="1" applyFont="1" applyFill="1" applyBorder="1" applyAlignment="1">
      <alignment vertical="center" wrapText="1"/>
    </xf>
    <xf numFmtId="43" fontId="38" fillId="0" borderId="10" xfId="1" applyFont="1" applyBorder="1" applyAlignment="1">
      <alignment horizontal="center"/>
    </xf>
    <xf numFmtId="168" fontId="48" fillId="13" borderId="10" xfId="0" applyNumberFormat="1" applyFont="1" applyFill="1" applyBorder="1" applyAlignment="1">
      <alignment horizontal="right" vertical="center" wrapText="1"/>
    </xf>
    <xf numFmtId="168" fontId="37" fillId="13" borderId="10" xfId="1" applyNumberFormat="1" applyFont="1" applyFill="1" applyBorder="1" applyAlignment="1">
      <alignment horizontal="center" vertical="center"/>
    </xf>
    <xf numFmtId="167" fontId="48" fillId="0" borderId="10" xfId="0" applyNumberFormat="1" applyFont="1" applyFill="1" applyBorder="1" applyAlignment="1">
      <alignment horizontal="center" vertical="center" wrapText="1"/>
    </xf>
    <xf numFmtId="167" fontId="48" fillId="0" borderId="63" xfId="0" applyNumberFormat="1" applyFont="1" applyFill="1" applyBorder="1" applyAlignment="1">
      <alignment horizontal="center" vertical="center" wrapText="1"/>
    </xf>
    <xf numFmtId="167" fontId="48" fillId="0" borderId="4" xfId="0" applyNumberFormat="1" applyFont="1" applyFill="1" applyBorder="1" applyAlignment="1">
      <alignment horizontal="center" vertical="center" wrapText="1"/>
    </xf>
    <xf numFmtId="0" fontId="3" fillId="0" borderId="4" xfId="0" applyFont="1" applyBorder="1" applyAlignment="1">
      <alignment horizontal="center"/>
    </xf>
    <xf numFmtId="43" fontId="48" fillId="0" borderId="4" xfId="1" applyFont="1" applyFill="1" applyBorder="1" applyAlignment="1" applyProtection="1">
      <alignment horizontal="center" vertical="center" wrapText="1"/>
      <protection locked="0"/>
    </xf>
    <xf numFmtId="0" fontId="3" fillId="27" borderId="3" xfId="0" applyFont="1" applyFill="1" applyBorder="1"/>
    <xf numFmtId="43" fontId="3" fillId="27" borderId="3" xfId="1" applyFont="1" applyFill="1" applyBorder="1" applyAlignment="1">
      <alignment horizontal="center"/>
    </xf>
    <xf numFmtId="43" fontId="3" fillId="27" borderId="3" xfId="1" applyFont="1" applyFill="1" applyBorder="1"/>
    <xf numFmtId="0" fontId="3" fillId="27" borderId="3" xfId="0" applyFont="1" applyFill="1" applyBorder="1" applyAlignment="1">
      <alignment vertical="top"/>
    </xf>
    <xf numFmtId="0" fontId="3" fillId="27" borderId="0" xfId="0" applyFont="1" applyFill="1" applyAlignment="1">
      <alignment horizontal="center"/>
    </xf>
    <xf numFmtId="0" fontId="3" fillId="27" borderId="5" xfId="0" applyFont="1" applyFill="1" applyBorder="1" applyAlignment="1">
      <alignment horizontal="center"/>
    </xf>
    <xf numFmtId="43" fontId="3" fillId="27" borderId="60" xfId="1" applyFont="1" applyFill="1" applyBorder="1"/>
    <xf numFmtId="165" fontId="3" fillId="27" borderId="0" xfId="1" applyNumberFormat="1" applyFont="1" applyFill="1"/>
    <xf numFmtId="43" fontId="3" fillId="27" borderId="5" xfId="1" applyFont="1" applyFill="1" applyBorder="1" applyAlignment="1"/>
    <xf numFmtId="168" fontId="37" fillId="0" borderId="5" xfId="0" applyNumberFormat="1" applyFont="1" applyFill="1" applyBorder="1" applyAlignment="1">
      <alignment horizontal="center" vertical="center"/>
    </xf>
    <xf numFmtId="0" fontId="3" fillId="27" borderId="3" xfId="0" applyFont="1" applyFill="1" applyBorder="1" applyAlignment="1">
      <alignment horizontal="center"/>
    </xf>
    <xf numFmtId="43" fontId="3" fillId="27" borderId="3" xfId="1" applyFont="1" applyFill="1" applyBorder="1" applyAlignment="1"/>
    <xf numFmtId="165" fontId="3" fillId="27" borderId="3" xfId="1" applyNumberFormat="1" applyFont="1" applyFill="1" applyBorder="1"/>
    <xf numFmtId="0" fontId="3" fillId="27" borderId="8" xfId="0" applyFont="1" applyFill="1" applyBorder="1" applyAlignment="1">
      <alignment horizontal="center"/>
    </xf>
    <xf numFmtId="0" fontId="3" fillId="27" borderId="10" xfId="0" applyFont="1" applyFill="1" applyBorder="1"/>
    <xf numFmtId="0" fontId="3" fillId="27" borderId="9" xfId="0" applyFont="1" applyFill="1" applyBorder="1"/>
    <xf numFmtId="43" fontId="3" fillId="27" borderId="9" xfId="1" applyFont="1" applyFill="1" applyBorder="1" applyAlignment="1">
      <alignment horizontal="center"/>
    </xf>
    <xf numFmtId="43" fontId="3" fillId="27" borderId="9" xfId="1" applyFont="1" applyFill="1" applyBorder="1"/>
    <xf numFmtId="49" fontId="48" fillId="27" borderId="9" xfId="0" applyNumberFormat="1" applyFont="1" applyFill="1" applyBorder="1" applyAlignment="1">
      <alignment vertical="top" wrapText="1"/>
    </xf>
    <xf numFmtId="15" fontId="49" fillId="27" borderId="9" xfId="0" applyNumberFormat="1" applyFont="1" applyFill="1" applyBorder="1"/>
    <xf numFmtId="168" fontId="37" fillId="27" borderId="9" xfId="1" applyNumberFormat="1" applyFont="1" applyFill="1" applyBorder="1" applyAlignment="1">
      <alignment horizontal="center" vertical="center"/>
    </xf>
    <xf numFmtId="168" fontId="37" fillId="27" borderId="9" xfId="0" applyNumberFormat="1" applyFont="1" applyFill="1" applyBorder="1" applyAlignment="1">
      <alignment horizontal="center" vertical="center"/>
    </xf>
    <xf numFmtId="0" fontId="3" fillId="27" borderId="9" xfId="0" applyFont="1" applyFill="1" applyBorder="1" applyAlignment="1">
      <alignment horizontal="center"/>
    </xf>
    <xf numFmtId="168" fontId="37" fillId="27" borderId="62" xfId="0" applyNumberFormat="1" applyFont="1" applyFill="1" applyBorder="1" applyAlignment="1">
      <alignment horizontal="center" vertical="center"/>
    </xf>
    <xf numFmtId="168" fontId="37" fillId="27" borderId="3" xfId="0" applyNumberFormat="1" applyFont="1" applyFill="1" applyBorder="1" applyAlignment="1">
      <alignment horizontal="center" vertical="center"/>
    </xf>
    <xf numFmtId="165" fontId="49" fillId="27" borderId="8" xfId="1" applyNumberFormat="1" applyFont="1" applyFill="1" applyBorder="1" applyAlignment="1">
      <alignment horizontal="center" vertical="center" wrapText="1"/>
    </xf>
    <xf numFmtId="43" fontId="5" fillId="27" borderId="9" xfId="1" applyFont="1" applyFill="1" applyBorder="1" applyAlignment="1">
      <alignment horizontal="left" vertical="center" wrapText="1"/>
    </xf>
    <xf numFmtId="0" fontId="49" fillId="27" borderId="9" xfId="0" applyFont="1" applyFill="1" applyBorder="1" applyAlignment="1">
      <alignment horizontal="center" vertical="center" wrapText="1"/>
    </xf>
    <xf numFmtId="0" fontId="49" fillId="27" borderId="11" xfId="0" applyFont="1" applyFill="1" applyBorder="1" applyAlignment="1">
      <alignment horizontal="center" vertical="center" wrapText="1"/>
    </xf>
    <xf numFmtId="43" fontId="49" fillId="27" borderId="9" xfId="1" applyFont="1" applyFill="1" applyBorder="1" applyAlignment="1">
      <alignment horizontal="center" vertical="center" wrapText="1"/>
    </xf>
    <xf numFmtId="43" fontId="29" fillId="27" borderId="9" xfId="1" applyFont="1" applyFill="1" applyBorder="1" applyAlignment="1">
      <alignment horizontal="center" vertical="center"/>
    </xf>
    <xf numFmtId="15" fontId="3" fillId="27" borderId="9" xfId="0" applyNumberFormat="1" applyFont="1" applyFill="1" applyBorder="1"/>
    <xf numFmtId="168" fontId="3" fillId="27" borderId="9" xfId="0" applyNumberFormat="1" applyFont="1" applyFill="1" applyBorder="1" applyAlignment="1">
      <alignment horizontal="center"/>
    </xf>
    <xf numFmtId="167" fontId="48" fillId="27" borderId="9" xfId="0" applyNumberFormat="1" applyFont="1" applyFill="1" applyBorder="1" applyAlignment="1">
      <alignment horizontal="center" vertical="center" wrapText="1"/>
    </xf>
    <xf numFmtId="4" fontId="3" fillId="27" borderId="9" xfId="0" applyNumberFormat="1" applyFont="1" applyFill="1" applyBorder="1" applyAlignment="1">
      <alignment horizontal="center"/>
    </xf>
    <xf numFmtId="15" fontId="3" fillId="27" borderId="62" xfId="0" applyNumberFormat="1" applyFont="1" applyFill="1" applyBorder="1" applyAlignment="1">
      <alignment horizontal="center"/>
    </xf>
    <xf numFmtId="15" fontId="3" fillId="27" borderId="3" xfId="0" applyNumberFormat="1" applyFont="1" applyFill="1" applyBorder="1" applyAlignment="1">
      <alignment horizontal="center"/>
    </xf>
    <xf numFmtId="43" fontId="3" fillId="27" borderId="10" xfId="1" applyFont="1" applyFill="1" applyBorder="1" applyAlignment="1">
      <alignment horizontal="left"/>
    </xf>
    <xf numFmtId="0" fontId="3" fillId="27" borderId="9" xfId="0" applyFont="1" applyFill="1" applyBorder="1" applyAlignment="1">
      <alignment vertical="top"/>
    </xf>
    <xf numFmtId="0" fontId="3" fillId="27" borderId="62" xfId="0" applyFont="1" applyFill="1" applyBorder="1" applyAlignment="1">
      <alignment horizontal="center"/>
    </xf>
    <xf numFmtId="165" fontId="3" fillId="8" borderId="3" xfId="1" applyNumberFormat="1" applyFont="1" applyFill="1" applyBorder="1"/>
    <xf numFmtId="0" fontId="3" fillId="8" borderId="0" xfId="0" applyFont="1" applyFill="1" applyAlignment="1">
      <alignment horizontal="center"/>
    </xf>
    <xf numFmtId="43" fontId="3" fillId="8" borderId="0" xfId="1" applyFont="1" applyFill="1" applyAlignment="1">
      <alignment horizontal="center"/>
    </xf>
    <xf numFmtId="0" fontId="3" fillId="8" borderId="0" xfId="0" applyFont="1" applyFill="1" applyAlignment="1">
      <alignment vertical="top"/>
    </xf>
    <xf numFmtId="43" fontId="3" fillId="8" borderId="0" xfId="1" applyFont="1" applyFill="1"/>
    <xf numFmtId="0" fontId="3" fillId="8" borderId="62" xfId="0" applyFont="1" applyFill="1" applyBorder="1"/>
    <xf numFmtId="43" fontId="3" fillId="8" borderId="60" xfId="1" applyFont="1" applyFill="1" applyBorder="1" applyAlignment="1"/>
    <xf numFmtId="43" fontId="3" fillId="8" borderId="8" xfId="0" applyNumberFormat="1" applyFont="1" applyFill="1" applyBorder="1" applyAlignment="1">
      <alignment horizontal="center"/>
    </xf>
    <xf numFmtId="4" fontId="3" fillId="8" borderId="8" xfId="0" applyNumberFormat="1" applyFont="1" applyFill="1" applyBorder="1" applyAlignment="1">
      <alignment horizontal="center"/>
    </xf>
    <xf numFmtId="43" fontId="3" fillId="8" borderId="8" xfId="1" applyFont="1" applyFill="1" applyBorder="1" applyAlignment="1">
      <alignment horizontal="center"/>
    </xf>
    <xf numFmtId="43" fontId="28" fillId="0" borderId="10" xfId="1" applyFont="1" applyFill="1" applyBorder="1" applyAlignment="1">
      <alignment vertical="center" wrapText="1"/>
    </xf>
    <xf numFmtId="43" fontId="49" fillId="3" borderId="10" xfId="1" applyFont="1" applyFill="1" applyBorder="1" applyAlignment="1">
      <alignment vertical="center"/>
    </xf>
    <xf numFmtId="43" fontId="49" fillId="3" borderId="11" xfId="1" applyFont="1" applyFill="1" applyBorder="1" applyAlignment="1">
      <alignment vertical="center"/>
    </xf>
    <xf numFmtId="43" fontId="49" fillId="3" borderId="12" xfId="1" applyFont="1" applyFill="1" applyBorder="1" applyAlignment="1">
      <alignment vertical="center"/>
    </xf>
    <xf numFmtId="43" fontId="49" fillId="3" borderId="96" xfId="1" applyFont="1" applyFill="1" applyBorder="1" applyAlignment="1">
      <alignment vertical="center"/>
    </xf>
    <xf numFmtId="43" fontId="28" fillId="0" borderId="11" xfId="1" applyFont="1" applyFill="1" applyBorder="1" applyAlignment="1">
      <alignment vertical="center" wrapText="1"/>
    </xf>
    <xf numFmtId="43" fontId="28" fillId="0" borderId="12" xfId="1" applyFont="1" applyFill="1" applyBorder="1" applyAlignment="1">
      <alignment vertical="center" wrapText="1"/>
    </xf>
    <xf numFmtId="43" fontId="3" fillId="27" borderId="4" xfId="1" applyFont="1" applyFill="1" applyBorder="1"/>
    <xf numFmtId="0" fontId="3" fillId="27" borderId="16" xfId="0" applyFont="1" applyFill="1" applyBorder="1"/>
    <xf numFmtId="43" fontId="3" fillId="27" borderId="9" xfId="0" applyNumberFormat="1" applyFont="1" applyFill="1" applyBorder="1"/>
    <xf numFmtId="43" fontId="3" fillId="27" borderId="10" xfId="0" applyNumberFormat="1" applyFont="1" applyFill="1" applyBorder="1"/>
    <xf numFmtId="0" fontId="3" fillId="27" borderId="12" xfId="0" applyFont="1" applyFill="1" applyBorder="1"/>
    <xf numFmtId="4" fontId="3" fillId="27" borderId="10" xfId="0" applyNumberFormat="1" applyFont="1" applyFill="1" applyBorder="1" applyAlignment="1">
      <alignment horizontal="center"/>
    </xf>
    <xf numFmtId="0" fontId="3" fillId="27" borderId="62" xfId="0" applyFont="1" applyFill="1" applyBorder="1"/>
    <xf numFmtId="43" fontId="3" fillId="27" borderId="0" xfId="0" applyNumberFormat="1" applyFont="1" applyFill="1"/>
    <xf numFmtId="43" fontId="49" fillId="3" borderId="66" xfId="1" applyFont="1" applyFill="1" applyBorder="1" applyAlignment="1">
      <alignment vertical="center"/>
    </xf>
    <xf numFmtId="0" fontId="0" fillId="0" borderId="3" xfId="0" applyFill="1" applyBorder="1" applyAlignment="1">
      <alignment wrapText="1"/>
    </xf>
    <xf numFmtId="43" fontId="49" fillId="3" borderId="96" xfId="1" applyFont="1" applyFill="1" applyBorder="1" applyAlignment="1">
      <alignment vertical="center" wrapText="1"/>
    </xf>
    <xf numFmtId="0" fontId="37" fillId="8" borderId="62" xfId="0" applyFont="1" applyFill="1" applyBorder="1" applyAlignment="1">
      <alignment vertical="top" wrapText="1"/>
    </xf>
    <xf numFmtId="43" fontId="52" fillId="8" borderId="3" xfId="1" applyFont="1" applyFill="1" applyBorder="1" applyAlignment="1">
      <alignment vertical="top" wrapText="1"/>
    </xf>
    <xf numFmtId="43" fontId="22" fillId="8" borderId="53" xfId="1" applyFont="1" applyFill="1" applyBorder="1" applyAlignment="1">
      <alignment horizontal="left"/>
    </xf>
    <xf numFmtId="43" fontId="37" fillId="8" borderId="3" xfId="0" applyNumberFormat="1" applyFont="1" applyFill="1" applyBorder="1" applyAlignment="1">
      <alignment vertical="top" wrapText="1"/>
    </xf>
    <xf numFmtId="43" fontId="28" fillId="8" borderId="3" xfId="1" applyFont="1" applyFill="1" applyBorder="1" applyAlignment="1">
      <alignment horizontal="left" vertical="top"/>
    </xf>
    <xf numFmtId="43" fontId="22" fillId="8" borderId="53" xfId="1" applyFont="1" applyFill="1" applyBorder="1" applyAlignment="1">
      <alignment horizontal="left" vertical="top"/>
    </xf>
    <xf numFmtId="0" fontId="9" fillId="8" borderId="3" xfId="0" applyFont="1" applyFill="1" applyBorder="1" applyAlignment="1">
      <alignment vertical="top" wrapText="1"/>
    </xf>
    <xf numFmtId="43" fontId="15" fillId="8" borderId="3" xfId="1" applyFont="1" applyFill="1" applyBorder="1" applyAlignment="1">
      <alignment horizontal="center" vertical="top"/>
    </xf>
    <xf numFmtId="43" fontId="22" fillId="8" borderId="53" xfId="1" applyFont="1" applyFill="1" applyBorder="1" applyAlignment="1">
      <alignment horizontal="center" vertical="top"/>
    </xf>
    <xf numFmtId="43" fontId="15" fillId="8" borderId="3" xfId="1" applyFont="1" applyFill="1" applyBorder="1" applyAlignment="1">
      <alignment horizontal="left" vertical="top"/>
    </xf>
    <xf numFmtId="0" fontId="22" fillId="0" borderId="4" xfId="0" applyFont="1" applyFill="1" applyBorder="1" applyAlignment="1">
      <alignment horizontal="left" vertical="top"/>
    </xf>
    <xf numFmtId="0" fontId="27" fillId="0" borderId="4" xfId="0" applyFont="1" applyFill="1" applyBorder="1" applyAlignment="1">
      <alignment horizontal="center"/>
    </xf>
    <xf numFmtId="0" fontId="27" fillId="0" borderId="0" xfId="0" applyFont="1" applyFill="1" applyBorder="1" applyAlignment="1">
      <alignment horizontal="center"/>
    </xf>
    <xf numFmtId="43" fontId="22" fillId="0" borderId="0" xfId="1" applyFont="1" applyFill="1" applyBorder="1" applyAlignment="1">
      <alignment horizontal="left"/>
    </xf>
    <xf numFmtId="0" fontId="42" fillId="8" borderId="0" xfId="0" applyFont="1" applyFill="1"/>
    <xf numFmtId="0" fontId="22" fillId="8" borderId="3" xfId="0" applyFont="1" applyFill="1" applyBorder="1" applyAlignment="1">
      <alignment horizontal="left" vertical="top" wrapText="1"/>
    </xf>
    <xf numFmtId="0" fontId="27" fillId="8" borderId="3" xfId="0" applyFont="1" applyFill="1" applyBorder="1" applyAlignment="1">
      <alignment horizontal="left" vertical="top"/>
    </xf>
    <xf numFmtId="43" fontId="22" fillId="8" borderId="3" xfId="0" applyNumberFormat="1" applyFont="1" applyFill="1" applyBorder="1" applyAlignment="1">
      <alignment horizontal="left" vertical="top"/>
    </xf>
    <xf numFmtId="43" fontId="22" fillId="8" borderId="3" xfId="1" applyFont="1" applyFill="1" applyBorder="1" applyAlignment="1">
      <alignment horizontal="left" vertical="top"/>
    </xf>
    <xf numFmtId="0" fontId="42" fillId="8" borderId="0" xfId="0" applyFont="1" applyFill="1" applyAlignment="1">
      <alignment wrapText="1"/>
    </xf>
    <xf numFmtId="43" fontId="26" fillId="8" borderId="3" xfId="1" applyFont="1" applyFill="1" applyBorder="1"/>
    <xf numFmtId="43" fontId="43" fillId="8" borderId="53" xfId="1" applyFont="1" applyFill="1" applyBorder="1" applyAlignment="1">
      <alignment horizontal="left"/>
    </xf>
    <xf numFmtId="0" fontId="22" fillId="23" borderId="4" xfId="0" applyFont="1" applyFill="1" applyBorder="1" applyAlignment="1">
      <alignment horizontal="left" vertical="top"/>
    </xf>
    <xf numFmtId="0" fontId="27" fillId="23" borderId="0" xfId="0" applyFont="1" applyFill="1" applyBorder="1" applyAlignment="1">
      <alignment horizontal="left" vertical="top"/>
    </xf>
    <xf numFmtId="0" fontId="12" fillId="8" borderId="20" xfId="0" applyFont="1" applyFill="1" applyBorder="1" applyAlignment="1">
      <alignment horizontal="left" vertical="top" wrapText="1"/>
    </xf>
    <xf numFmtId="43" fontId="27" fillId="8" borderId="3" xfId="0" applyNumberFormat="1" applyFont="1" applyFill="1" applyBorder="1" applyAlignment="1">
      <alignment horizontal="center" vertical="center"/>
    </xf>
    <xf numFmtId="43" fontId="27" fillId="8" borderId="31" xfId="0" applyNumberFormat="1" applyFont="1" applyFill="1" applyBorder="1" applyAlignment="1">
      <alignment horizontal="center" vertical="center"/>
    </xf>
    <xf numFmtId="43" fontId="22" fillId="8" borderId="67" xfId="0" applyNumberFormat="1" applyFont="1" applyFill="1" applyBorder="1" applyAlignment="1">
      <alignment horizontal="left" vertical="top"/>
    </xf>
    <xf numFmtId="0" fontId="43" fillId="8" borderId="5" xfId="0" applyFont="1" applyFill="1" applyBorder="1" applyAlignment="1">
      <alignment horizontal="center" vertical="top"/>
    </xf>
    <xf numFmtId="0" fontId="22" fillId="8" borderId="53" xfId="0" applyFont="1" applyFill="1" applyBorder="1" applyAlignment="1">
      <alignment horizontal="left" vertical="top" wrapText="1"/>
    </xf>
    <xf numFmtId="0" fontId="37" fillId="8" borderId="3" xfId="0" applyFont="1" applyFill="1" applyBorder="1" applyAlignment="1">
      <alignment vertical="center" wrapText="1"/>
    </xf>
    <xf numFmtId="0" fontId="37" fillId="8" borderId="0" xfId="0" applyFont="1" applyFill="1" applyBorder="1" applyAlignment="1">
      <alignment vertical="top" wrapText="1"/>
    </xf>
    <xf numFmtId="43" fontId="22" fillId="8" borderId="0" xfId="0" applyNumberFormat="1" applyFont="1" applyFill="1" applyBorder="1" applyAlignment="1">
      <alignment horizontal="left" vertical="top"/>
    </xf>
    <xf numFmtId="43" fontId="22" fillId="8" borderId="0" xfId="1" applyFont="1" applyFill="1" applyBorder="1" applyAlignment="1">
      <alignment horizontal="left" vertical="top"/>
    </xf>
    <xf numFmtId="0" fontId="22" fillId="8" borderId="53" xfId="0" applyFont="1" applyFill="1" applyBorder="1" applyAlignment="1">
      <alignment horizontal="left" vertical="top"/>
    </xf>
    <xf numFmtId="0" fontId="22" fillId="8" borderId="20" xfId="0" applyFont="1" applyFill="1" applyBorder="1" applyAlignment="1">
      <alignment horizontal="left" vertical="top" wrapText="1"/>
    </xf>
    <xf numFmtId="0" fontId="27" fillId="8" borderId="31" xfId="0" applyFont="1" applyFill="1" applyBorder="1" applyAlignment="1">
      <alignment horizontal="left" vertical="top"/>
    </xf>
    <xf numFmtId="43" fontId="22" fillId="8" borderId="67" xfId="1" applyFont="1" applyFill="1" applyBorder="1" applyAlignment="1">
      <alignment horizontal="left" vertical="top"/>
    </xf>
    <xf numFmtId="43" fontId="73" fillId="0" borderId="3" xfId="1" applyFont="1" applyBorder="1" applyAlignment="1">
      <alignment horizontal="center"/>
    </xf>
    <xf numFmtId="43" fontId="73" fillId="0" borderId="53" xfId="1" applyFont="1" applyBorder="1" applyAlignment="1">
      <alignment horizontal="left"/>
    </xf>
    <xf numFmtId="43" fontId="74" fillId="0" borderId="3" xfId="1" applyFont="1" applyBorder="1" applyAlignment="1">
      <alignment vertical="top" wrapText="1"/>
    </xf>
    <xf numFmtId="43" fontId="75" fillId="0" borderId="3" xfId="0" applyNumberFormat="1" applyFont="1" applyBorder="1" applyAlignment="1">
      <alignment vertical="top" wrapText="1"/>
    </xf>
    <xf numFmtId="43" fontId="76" fillId="0" borderId="3" xfId="1" applyFont="1" applyFill="1" applyBorder="1" applyAlignment="1">
      <alignment horizontal="left" vertical="top"/>
    </xf>
    <xf numFmtId="43" fontId="73" fillId="0" borderId="53" xfId="1" applyFont="1" applyBorder="1" applyAlignment="1"/>
    <xf numFmtId="43" fontId="77" fillId="0" borderId="53" xfId="1" applyFont="1" applyFill="1" applyBorder="1" applyAlignment="1">
      <alignment horizontal="left" vertical="top"/>
    </xf>
    <xf numFmtId="43" fontId="76" fillId="0" borderId="3" xfId="1" applyFont="1" applyBorder="1" applyAlignment="1"/>
    <xf numFmtId="43" fontId="77" fillId="25" borderId="53" xfId="1" applyFont="1" applyFill="1" applyBorder="1" applyAlignment="1"/>
    <xf numFmtId="43" fontId="78" fillId="0" borderId="3" xfId="0" applyNumberFormat="1" applyFont="1" applyBorder="1" applyAlignment="1">
      <alignment vertical="top" wrapText="1"/>
    </xf>
    <xf numFmtId="43" fontId="53" fillId="0" borderId="3" xfId="1" applyFont="1" applyFill="1" applyBorder="1" applyAlignment="1">
      <alignment horizontal="left" vertical="top"/>
    </xf>
    <xf numFmtId="43" fontId="77" fillId="23" borderId="53" xfId="1" applyFont="1" applyFill="1" applyBorder="1" applyAlignment="1">
      <alignment horizontal="left" vertical="top"/>
    </xf>
    <xf numFmtId="43" fontId="77" fillId="8" borderId="53" xfId="1" applyFont="1" applyFill="1" applyBorder="1" applyAlignment="1">
      <alignment horizontal="left" vertical="top"/>
    </xf>
    <xf numFmtId="0" fontId="75" fillId="0" borderId="62" xfId="0" applyFont="1" applyBorder="1" applyAlignment="1">
      <alignment vertical="top" wrapText="1"/>
    </xf>
    <xf numFmtId="43" fontId="73" fillId="0" borderId="53" xfId="1" applyFont="1" applyBorder="1" applyAlignment="1">
      <alignment horizontal="left" wrapText="1"/>
    </xf>
    <xf numFmtId="43" fontId="77" fillId="16" borderId="53" xfId="1" applyFont="1" applyFill="1" applyBorder="1" applyAlignment="1">
      <alignment horizontal="left" vertical="top"/>
    </xf>
    <xf numFmtId="0" fontId="75" fillId="8" borderId="62" xfId="0" applyFont="1" applyFill="1" applyBorder="1" applyAlignment="1">
      <alignment vertical="top" wrapText="1"/>
    </xf>
    <xf numFmtId="43" fontId="23" fillId="18" borderId="3" xfId="1" applyFont="1" applyFill="1" applyBorder="1"/>
    <xf numFmtId="43" fontId="14" fillId="5" borderId="3" xfId="1" applyFont="1" applyFill="1" applyBorder="1"/>
    <xf numFmtId="43" fontId="20" fillId="0" borderId="3" xfId="1" applyFont="1" applyBorder="1"/>
    <xf numFmtId="43" fontId="16" fillId="3" borderId="4" xfId="1" applyFont="1" applyFill="1" applyBorder="1" applyAlignment="1">
      <alignment vertical="center"/>
    </xf>
    <xf numFmtId="43" fontId="16" fillId="3" borderId="25" xfId="1" applyFont="1" applyFill="1" applyBorder="1" applyAlignment="1">
      <alignment vertical="center"/>
    </xf>
    <xf numFmtId="43" fontId="16" fillId="3" borderId="5" xfId="1" applyFont="1" applyFill="1" applyBorder="1" applyAlignment="1">
      <alignment vertical="center"/>
    </xf>
    <xf numFmtId="43" fontId="16" fillId="0" borderId="4" xfId="1" applyFont="1" applyFill="1" applyBorder="1" applyAlignment="1">
      <alignment vertical="center"/>
    </xf>
    <xf numFmtId="43" fontId="16" fillId="0" borderId="25" xfId="1" applyFont="1" applyFill="1" applyBorder="1" applyAlignment="1">
      <alignment vertical="center"/>
    </xf>
    <xf numFmtId="43" fontId="16" fillId="0" borderId="5" xfId="1" applyFont="1" applyFill="1" applyBorder="1" applyAlignment="1">
      <alignment vertical="center"/>
    </xf>
    <xf numFmtId="43" fontId="8" fillId="3" borderId="4" xfId="1" applyFont="1" applyFill="1" applyBorder="1" applyAlignment="1">
      <alignment vertical="center" wrapText="1"/>
    </xf>
    <xf numFmtId="43" fontId="8" fillId="3" borderId="25" xfId="1" applyFont="1" applyFill="1" applyBorder="1" applyAlignment="1">
      <alignment vertical="center" wrapText="1"/>
    </xf>
    <xf numFmtId="43" fontId="8" fillId="3" borderId="5" xfId="1" applyFont="1" applyFill="1" applyBorder="1" applyAlignment="1">
      <alignment vertical="center" wrapText="1"/>
    </xf>
    <xf numFmtId="0" fontId="0" fillId="0" borderId="4" xfId="0" applyBorder="1"/>
    <xf numFmtId="0" fontId="43" fillId="0" borderId="3" xfId="0" applyFont="1" applyBorder="1" applyAlignment="1">
      <alignment horizontal="left" vertical="top" wrapText="1"/>
    </xf>
    <xf numFmtId="0" fontId="0" fillId="0" borderId="3" xfId="0" applyBorder="1" applyAlignment="1">
      <alignment horizontal="left" wrapText="1"/>
    </xf>
    <xf numFmtId="0" fontId="0" fillId="0" borderId="5" xfId="0" applyBorder="1" applyAlignment="1">
      <alignment wrapText="1"/>
    </xf>
    <xf numFmtId="0" fontId="0" fillId="0" borderId="3" xfId="0" applyBorder="1" applyAlignment="1">
      <alignment wrapText="1"/>
    </xf>
    <xf numFmtId="0" fontId="0" fillId="0" borderId="4" xfId="0" applyBorder="1" applyAlignment="1">
      <alignment wrapText="1"/>
    </xf>
    <xf numFmtId="43" fontId="49" fillId="0" borderId="10" xfId="1" applyFont="1" applyBorder="1" applyAlignment="1">
      <alignment vertical="center"/>
    </xf>
    <xf numFmtId="43" fontId="49" fillId="0" borderId="11" xfId="1" applyFont="1" applyBorder="1" applyAlignment="1">
      <alignment vertical="center"/>
    </xf>
    <xf numFmtId="43" fontId="49" fillId="0" borderId="12" xfId="1" applyFont="1" applyBorder="1" applyAlignment="1">
      <alignment vertical="center"/>
    </xf>
    <xf numFmtId="43" fontId="49" fillId="0" borderId="96" xfId="1" applyFont="1" applyBorder="1" applyAlignment="1">
      <alignment vertical="center"/>
    </xf>
    <xf numFmtId="0" fontId="42" fillId="0" borderId="0" xfId="0" applyFont="1" applyFill="1" applyBorder="1"/>
    <xf numFmtId="0" fontId="22" fillId="0" borderId="0" xfId="0" applyFont="1" applyFill="1" applyBorder="1" applyAlignment="1">
      <alignment horizontal="left" vertical="top"/>
    </xf>
    <xf numFmtId="0" fontId="42" fillId="0" borderId="0" xfId="0" applyFont="1" applyFill="1" applyBorder="1" applyAlignment="1">
      <alignment wrapText="1"/>
    </xf>
    <xf numFmtId="43" fontId="49" fillId="0" borderId="66" xfId="1" applyFont="1" applyBorder="1" applyAlignment="1">
      <alignment vertical="center"/>
    </xf>
    <xf numFmtId="0" fontId="27" fillId="0" borderId="53" xfId="0" applyFont="1" applyFill="1" applyBorder="1" applyAlignment="1">
      <alignment horizontal="left" vertical="top"/>
    </xf>
    <xf numFmtId="43" fontId="42" fillId="8" borderId="0" xfId="1" applyFont="1" applyFill="1"/>
    <xf numFmtId="43" fontId="22" fillId="0" borderId="3" xfId="1" applyFont="1" applyFill="1" applyBorder="1" applyAlignment="1">
      <alignment horizontal="left" vertical="top" wrapText="1"/>
    </xf>
    <xf numFmtId="43" fontId="29" fillId="0" borderId="10" xfId="1" applyFont="1" applyBorder="1" applyAlignment="1">
      <alignment vertical="center"/>
    </xf>
    <xf numFmtId="43" fontId="29" fillId="0" borderId="11" xfId="1" applyFont="1" applyBorder="1" applyAlignment="1">
      <alignment vertical="center"/>
    </xf>
    <xf numFmtId="43" fontId="29" fillId="0" borderId="12" xfId="1" applyFont="1" applyBorder="1" applyAlignment="1">
      <alignment vertical="center"/>
    </xf>
    <xf numFmtId="43" fontId="28" fillId="5" borderId="3" xfId="1" applyFont="1" applyFill="1" applyBorder="1" applyAlignment="1">
      <alignment horizontal="left" vertical="top"/>
    </xf>
    <xf numFmtId="0" fontId="13" fillId="31" borderId="84" xfId="0" applyFont="1" applyFill="1" applyBorder="1" applyAlignment="1">
      <alignment horizontal="left" vertical="top"/>
    </xf>
    <xf numFmtId="0" fontId="13" fillId="24" borderId="81" xfId="0" applyFont="1" applyFill="1" applyBorder="1" applyAlignment="1">
      <alignment horizontal="left" vertical="top"/>
    </xf>
    <xf numFmtId="4" fontId="30" fillId="5" borderId="53" xfId="0" applyNumberFormat="1" applyFont="1" applyFill="1" applyBorder="1" applyAlignment="1">
      <alignment horizontal="right" vertical="top" wrapText="1"/>
    </xf>
    <xf numFmtId="43" fontId="7" fillId="21" borderId="17" xfId="1" applyFont="1" applyFill="1" applyBorder="1" applyAlignment="1">
      <alignment horizontal="left" vertical="top" wrapText="1"/>
    </xf>
    <xf numFmtId="43" fontId="45" fillId="21" borderId="2" xfId="1" applyFont="1" applyFill="1" applyBorder="1" applyAlignment="1">
      <alignment horizontal="left" vertical="top" wrapText="1"/>
    </xf>
    <xf numFmtId="43" fontId="13" fillId="24" borderId="17" xfId="1" applyFont="1" applyFill="1" applyBorder="1" applyAlignment="1">
      <alignment horizontal="left" vertical="top" wrapText="1"/>
    </xf>
    <xf numFmtId="43" fontId="46" fillId="0" borderId="17" xfId="1" applyFont="1" applyBorder="1" applyAlignment="1">
      <alignment horizontal="left" vertical="top" wrapText="1"/>
    </xf>
    <xf numFmtId="43" fontId="7" fillId="0" borderId="17" xfId="1" applyFont="1" applyBorder="1" applyAlignment="1">
      <alignment horizontal="right" wrapText="1"/>
    </xf>
    <xf numFmtId="43" fontId="7" fillId="21" borderId="20" xfId="1" applyFont="1" applyFill="1" applyBorder="1" applyAlignment="1">
      <alignment horizontal="right"/>
    </xf>
    <xf numFmtId="43" fontId="7" fillId="0" borderId="54" xfId="1" applyFont="1" applyBorder="1" applyAlignment="1"/>
    <xf numFmtId="43" fontId="7" fillId="0" borderId="3" xfId="1" applyFont="1" applyBorder="1" applyAlignment="1"/>
    <xf numFmtId="43" fontId="0" fillId="0" borderId="3" xfId="1" applyFont="1" applyBorder="1"/>
    <xf numFmtId="0" fontId="7" fillId="8" borderId="53" xfId="0" applyFont="1" applyFill="1" applyBorder="1" applyAlignment="1">
      <alignment horizontal="left" vertical="top"/>
    </xf>
    <xf numFmtId="0" fontId="43" fillId="8" borderId="53" xfId="0" applyFont="1" applyFill="1" applyBorder="1" applyAlignment="1">
      <alignment horizontal="left" vertical="top"/>
    </xf>
    <xf numFmtId="43" fontId="7" fillId="8" borderId="103" xfId="1" applyFont="1" applyFill="1" applyBorder="1" applyAlignment="1"/>
    <xf numFmtId="43" fontId="7" fillId="8" borderId="20" xfId="1" applyFont="1" applyFill="1" applyBorder="1" applyAlignment="1"/>
    <xf numFmtId="43" fontId="7" fillId="8" borderId="17" xfId="1" applyFont="1" applyFill="1" applyBorder="1" applyAlignment="1">
      <alignment horizontal="right" wrapText="1"/>
    </xf>
    <xf numFmtId="9" fontId="3" fillId="8" borderId="2" xfId="0" applyNumberFormat="1" applyFont="1" applyFill="1" applyBorder="1" applyAlignment="1">
      <alignment horizontal="right" wrapText="1"/>
    </xf>
    <xf numFmtId="0" fontId="0" fillId="8" borderId="0" xfId="0" applyFill="1"/>
    <xf numFmtId="43" fontId="0" fillId="8" borderId="0" xfId="1" applyFont="1" applyFill="1"/>
    <xf numFmtId="0" fontId="7" fillId="8" borderId="75" xfId="0" applyFont="1" applyFill="1" applyBorder="1" applyAlignment="1">
      <alignment horizontal="left" vertical="top"/>
    </xf>
    <xf numFmtId="0" fontId="7" fillId="8" borderId="76" xfId="0" applyFont="1" applyFill="1" applyBorder="1" applyAlignment="1">
      <alignment horizontal="left" vertical="top"/>
    </xf>
    <xf numFmtId="43" fontId="7" fillId="8" borderId="17" xfId="1" applyFont="1" applyFill="1" applyBorder="1" applyAlignment="1">
      <alignment horizontal="left"/>
    </xf>
    <xf numFmtId="9" fontId="7" fillId="8" borderId="2" xfId="0" applyNumberFormat="1" applyFont="1" applyFill="1" applyBorder="1" applyAlignment="1">
      <alignment horizontal="right" vertical="top" wrapText="1"/>
    </xf>
    <xf numFmtId="43" fontId="0" fillId="8" borderId="3" xfId="1" applyFont="1" applyFill="1" applyBorder="1"/>
    <xf numFmtId="0" fontId="0" fillId="5" borderId="3" xfId="0" applyFill="1" applyBorder="1"/>
    <xf numFmtId="43" fontId="0" fillId="5" borderId="3" xfId="0" applyNumberFormat="1" applyFill="1" applyBorder="1"/>
    <xf numFmtId="0" fontId="49" fillId="3" borderId="10"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3" borderId="12" xfId="0" applyFont="1" applyFill="1" applyBorder="1" applyAlignment="1">
      <alignment horizontal="center" vertical="center" wrapText="1"/>
    </xf>
    <xf numFmtId="49" fontId="67" fillId="21" borderId="57" xfId="1" applyNumberFormat="1" applyFont="1" applyFill="1" applyBorder="1" applyAlignment="1">
      <alignment horizontal="center" wrapText="1"/>
    </xf>
    <xf numFmtId="4" fontId="43" fillId="7" borderId="3" xfId="0" applyNumberFormat="1" applyFont="1" applyFill="1" applyBorder="1" applyAlignment="1">
      <alignment horizontal="right"/>
    </xf>
    <xf numFmtId="4" fontId="43" fillId="0" borderId="3" xfId="0" applyNumberFormat="1" applyFont="1" applyBorder="1"/>
    <xf numFmtId="43" fontId="43" fillId="8" borderId="3" xfId="1" applyFont="1" applyFill="1" applyBorder="1" applyAlignment="1">
      <alignment horizontal="left"/>
    </xf>
    <xf numFmtId="0" fontId="31" fillId="0" borderId="0" xfId="0" applyFont="1" applyAlignment="1">
      <alignment horizontal="left" vertical="center" indent="7"/>
    </xf>
    <xf numFmtId="0" fontId="6" fillId="21" borderId="53" xfId="0" applyFont="1" applyFill="1" applyBorder="1" applyAlignment="1">
      <alignment vertical="center" wrapText="1"/>
    </xf>
    <xf numFmtId="0" fontId="6" fillId="0" borderId="48" xfId="0" applyFont="1" applyBorder="1" applyAlignment="1">
      <alignment vertical="center" wrapText="1"/>
    </xf>
    <xf numFmtId="0" fontId="3" fillId="0" borderId="53" xfId="0" applyFont="1" applyBorder="1" applyAlignment="1">
      <alignment vertical="center" wrapText="1"/>
    </xf>
    <xf numFmtId="0" fontId="13" fillId="0" borderId="48" xfId="0" applyFont="1" applyBorder="1" applyAlignment="1">
      <alignment vertical="center" wrapText="1"/>
    </xf>
    <xf numFmtId="0" fontId="45" fillId="0" borderId="53" xfId="0" applyFont="1" applyBorder="1" applyAlignment="1">
      <alignment vertical="center" wrapText="1"/>
    </xf>
    <xf numFmtId="0" fontId="13" fillId="0" borderId="53" xfId="0" applyFont="1" applyBorder="1" applyAlignment="1">
      <alignment vertical="center" wrapText="1"/>
    </xf>
    <xf numFmtId="0" fontId="43" fillId="0" borderId="20" xfId="0" applyFont="1" applyBorder="1" applyAlignment="1">
      <alignment horizontal="center"/>
    </xf>
    <xf numFmtId="0" fontId="22" fillId="3" borderId="53" xfId="0" applyNumberFormat="1" applyFont="1" applyFill="1" applyBorder="1" applyAlignment="1">
      <alignment horizontal="center" vertical="center"/>
    </xf>
    <xf numFmtId="0" fontId="22" fillId="3" borderId="53" xfId="0" applyNumberFormat="1" applyFont="1" applyFill="1" applyBorder="1" applyAlignment="1">
      <alignment horizontal="center" vertical="top"/>
    </xf>
    <xf numFmtId="0" fontId="22" fillId="2" borderId="53" xfId="0" applyNumberFormat="1" applyFont="1" applyFill="1" applyBorder="1" applyAlignment="1">
      <alignment horizontal="center" vertical="top"/>
    </xf>
    <xf numFmtId="0" fontId="42" fillId="0" borderId="1" xfId="0" applyNumberFormat="1" applyFont="1" applyBorder="1" applyAlignment="1">
      <alignment horizontal="center"/>
    </xf>
    <xf numFmtId="0" fontId="22" fillId="15" borderId="53" xfId="0" applyNumberFormat="1" applyFont="1" applyFill="1" applyBorder="1" applyAlignment="1">
      <alignment horizontal="center" vertical="top"/>
    </xf>
    <xf numFmtId="0" fontId="22" fillId="16" borderId="53" xfId="0" applyNumberFormat="1" applyFont="1" applyFill="1" applyBorder="1" applyAlignment="1">
      <alignment horizontal="center" vertical="top"/>
    </xf>
    <xf numFmtId="0" fontId="27" fillId="20" borderId="53" xfId="0" applyNumberFormat="1" applyFont="1" applyFill="1" applyBorder="1" applyAlignment="1">
      <alignment horizontal="center" vertical="top"/>
    </xf>
    <xf numFmtId="0" fontId="27" fillId="28" borderId="53" xfId="0" applyNumberFormat="1" applyFont="1" applyFill="1" applyBorder="1" applyAlignment="1">
      <alignment horizontal="center" vertical="top"/>
    </xf>
    <xf numFmtId="0" fontId="22" fillId="8" borderId="0" xfId="0" applyFont="1" applyFill="1" applyBorder="1" applyAlignment="1">
      <alignment horizontal="left" vertical="top"/>
    </xf>
    <xf numFmtId="0" fontId="27" fillId="8" borderId="53" xfId="0" applyFont="1" applyFill="1" applyBorder="1" applyAlignment="1">
      <alignment horizontal="left" vertical="top"/>
    </xf>
    <xf numFmtId="0" fontId="22" fillId="8" borderId="53" xfId="0" applyFont="1" applyFill="1" applyBorder="1" applyAlignment="1">
      <alignment horizontal="center" vertical="top"/>
    </xf>
    <xf numFmtId="0" fontId="22" fillId="8" borderId="53" xfId="1" applyNumberFormat="1" applyFont="1" applyFill="1" applyBorder="1" applyAlignment="1">
      <alignment horizontal="center" vertical="top"/>
    </xf>
    <xf numFmtId="0" fontId="22" fillId="17" borderId="53" xfId="0" applyNumberFormat="1" applyFont="1" applyFill="1" applyBorder="1" applyAlignment="1">
      <alignment horizontal="center" vertical="top"/>
    </xf>
    <xf numFmtId="0" fontId="12" fillId="10" borderId="3" xfId="1" applyNumberFormat="1" applyFont="1" applyFill="1" applyBorder="1" applyAlignment="1">
      <alignment horizontal="center" vertical="top"/>
    </xf>
    <xf numFmtId="0" fontId="12" fillId="8" borderId="3" xfId="1" applyNumberFormat="1" applyFont="1" applyFill="1" applyBorder="1" applyAlignment="1">
      <alignment horizontal="center" vertical="top"/>
    </xf>
    <xf numFmtId="0" fontId="22" fillId="26" borderId="53" xfId="1" applyNumberFormat="1" applyFont="1" applyFill="1" applyBorder="1" applyAlignment="1">
      <alignment horizontal="center"/>
    </xf>
    <xf numFmtId="0" fontId="43" fillId="2" borderId="53" xfId="1" applyNumberFormat="1" applyFont="1" applyFill="1" applyBorder="1" applyAlignment="1">
      <alignment horizontal="center"/>
    </xf>
    <xf numFmtId="0" fontId="22" fillId="6" borderId="53" xfId="0" applyNumberFormat="1" applyFont="1" applyFill="1" applyBorder="1" applyAlignment="1">
      <alignment horizontal="center" vertical="top"/>
    </xf>
    <xf numFmtId="0" fontId="27" fillId="20" borderId="53" xfId="1" applyNumberFormat="1" applyFont="1" applyFill="1" applyBorder="1" applyAlignment="1">
      <alignment horizontal="center" vertical="top"/>
    </xf>
    <xf numFmtId="0" fontId="22" fillId="0" borderId="0" xfId="0" applyNumberFormat="1" applyFont="1" applyFill="1" applyBorder="1" applyAlignment="1">
      <alignment horizontal="center" vertical="top"/>
    </xf>
    <xf numFmtId="0" fontId="22" fillId="29" borderId="53" xfId="0" applyNumberFormat="1" applyFont="1" applyFill="1" applyBorder="1" applyAlignment="1">
      <alignment horizontal="center" vertical="top"/>
    </xf>
    <xf numFmtId="0" fontId="22" fillId="8" borderId="3" xfId="1" applyNumberFormat="1" applyFont="1" applyFill="1" applyBorder="1" applyAlignment="1">
      <alignment horizontal="center"/>
    </xf>
    <xf numFmtId="0" fontId="22" fillId="20" borderId="53" xfId="0" applyNumberFormat="1" applyFont="1" applyFill="1" applyBorder="1" applyAlignment="1">
      <alignment horizontal="center" vertical="top"/>
    </xf>
    <xf numFmtId="0" fontId="12" fillId="26" borderId="57" xfId="1" applyNumberFormat="1" applyFont="1" applyFill="1" applyBorder="1" applyAlignment="1">
      <alignment horizontal="center"/>
    </xf>
    <xf numFmtId="0" fontId="12" fillId="8" borderId="4" xfId="1" applyNumberFormat="1" applyFont="1" applyFill="1" applyBorder="1" applyAlignment="1">
      <alignment horizontal="center"/>
    </xf>
    <xf numFmtId="0" fontId="22" fillId="25" borderId="53" xfId="1" applyNumberFormat="1" applyFont="1" applyFill="1" applyBorder="1" applyAlignment="1">
      <alignment horizontal="center"/>
    </xf>
    <xf numFmtId="0" fontId="12" fillId="8" borderId="53" xfId="0" applyFont="1" applyFill="1" applyBorder="1" applyAlignment="1">
      <alignment horizontal="left" vertical="top"/>
    </xf>
    <xf numFmtId="43" fontId="22" fillId="8" borderId="53" xfId="0" applyNumberFormat="1" applyFont="1" applyFill="1" applyBorder="1" applyAlignment="1">
      <alignment horizontal="center" vertical="center"/>
    </xf>
    <xf numFmtId="43" fontId="22" fillId="8" borderId="53" xfId="0" applyNumberFormat="1" applyFont="1" applyFill="1" applyBorder="1" applyAlignment="1">
      <alignment horizontal="left" vertical="top"/>
    </xf>
    <xf numFmtId="0" fontId="22" fillId="8" borderId="53" xfId="0" applyNumberFormat="1" applyFont="1" applyFill="1" applyBorder="1" applyAlignment="1">
      <alignment horizontal="center" vertical="top"/>
    </xf>
    <xf numFmtId="0" fontId="42" fillId="21" borderId="28" xfId="1" applyNumberFormat="1" applyFont="1" applyFill="1" applyBorder="1" applyAlignment="1">
      <alignment horizontal="center"/>
    </xf>
    <xf numFmtId="0" fontId="58" fillId="5" borderId="8" xfId="0" applyNumberFormat="1" applyFont="1" applyFill="1" applyBorder="1" applyAlignment="1">
      <alignment horizontal="center" vertical="center" wrapText="1"/>
    </xf>
    <xf numFmtId="49" fontId="58" fillId="5" borderId="9" xfId="0" applyNumberFormat="1" applyFont="1" applyFill="1" applyBorder="1" applyAlignment="1" applyProtection="1">
      <alignment vertical="center" wrapText="1"/>
      <protection locked="0"/>
    </xf>
    <xf numFmtId="49" fontId="58" fillId="5" borderId="9" xfId="0" applyNumberFormat="1" applyFont="1" applyFill="1" applyBorder="1" applyAlignment="1">
      <alignment horizontal="center" vertical="center" wrapText="1"/>
    </xf>
    <xf numFmtId="43" fontId="58" fillId="5" borderId="9" xfId="1" applyFont="1" applyFill="1" applyBorder="1" applyAlignment="1">
      <alignment horizontal="center" vertical="center" wrapText="1"/>
    </xf>
    <xf numFmtId="0" fontId="58" fillId="5" borderId="9" xfId="0" applyFont="1" applyFill="1" applyBorder="1" applyAlignment="1">
      <alignment horizontal="center" vertical="center" wrapText="1"/>
    </xf>
    <xf numFmtId="43" fontId="58" fillId="5" borderId="9" xfId="1" applyFont="1" applyFill="1" applyBorder="1" applyAlignment="1">
      <alignment horizontal="center" wrapText="1"/>
    </xf>
    <xf numFmtId="43" fontId="58" fillId="5" borderId="9" xfId="1" applyFont="1" applyFill="1" applyBorder="1" applyAlignment="1">
      <alignment horizontal="center" vertical="center"/>
    </xf>
    <xf numFmtId="4" fontId="58" fillId="5" borderId="9" xfId="2" applyNumberFormat="1" applyFont="1" applyFill="1" applyBorder="1" applyAlignment="1">
      <alignment horizontal="center" vertical="center" wrapText="1"/>
    </xf>
    <xf numFmtId="49" fontId="35" fillId="5" borderId="9" xfId="0" applyNumberFormat="1" applyFont="1" applyFill="1" applyBorder="1" applyAlignment="1" applyProtection="1">
      <alignment horizontal="center" vertical="center" wrapText="1"/>
      <protection locked="0"/>
    </xf>
    <xf numFmtId="49" fontId="58" fillId="5" borderId="9" xfId="0" applyNumberFormat="1" applyFont="1" applyFill="1" applyBorder="1" applyAlignment="1">
      <alignment vertical="top" wrapText="1"/>
    </xf>
    <xf numFmtId="49" fontId="35" fillId="5" borderId="9" xfId="0" applyNumberFormat="1" applyFont="1" applyFill="1" applyBorder="1" applyAlignment="1" applyProtection="1">
      <alignment horizontal="center" vertical="center"/>
      <protection locked="0"/>
    </xf>
    <xf numFmtId="167" fontId="58" fillId="5" borderId="9" xfId="0" applyNumberFormat="1" applyFont="1" applyFill="1" applyBorder="1" applyAlignment="1">
      <alignment horizontal="center" vertical="center" wrapText="1"/>
    </xf>
    <xf numFmtId="49" fontId="35" fillId="5" borderId="62" xfId="0" applyNumberFormat="1" applyFont="1" applyFill="1" applyBorder="1" applyAlignment="1" applyProtection="1">
      <alignment horizontal="center" vertical="center"/>
      <protection locked="0"/>
    </xf>
    <xf numFmtId="167" fontId="58" fillId="5" borderId="3" xfId="0" applyNumberFormat="1" applyFont="1" applyFill="1" applyBorder="1" applyAlignment="1">
      <alignment horizontal="center" vertical="center" wrapText="1"/>
    </xf>
    <xf numFmtId="43" fontId="58" fillId="5" borderId="3" xfId="1" applyFont="1" applyFill="1" applyBorder="1" applyAlignment="1" applyProtection="1">
      <alignment horizontal="center" vertical="center" wrapText="1"/>
      <protection locked="0"/>
    </xf>
    <xf numFmtId="0" fontId="6" fillId="0" borderId="0" xfId="0" applyFont="1"/>
    <xf numFmtId="165" fontId="6" fillId="0" borderId="0" xfId="1" applyNumberFormat="1" applyFont="1"/>
    <xf numFmtId="0" fontId="39" fillId="3" borderId="0" xfId="0" applyFont="1" applyFill="1" applyBorder="1" applyAlignment="1"/>
    <xf numFmtId="49" fontId="80" fillId="3" borderId="0" xfId="0" applyNumberFormat="1" applyFont="1" applyFill="1" applyBorder="1" applyAlignment="1" applyProtection="1">
      <alignment vertical="center"/>
      <protection locked="0"/>
    </xf>
    <xf numFmtId="0" fontId="39" fillId="0" borderId="0" xfId="0" applyFont="1" applyBorder="1" applyAlignment="1">
      <alignment horizontal="center"/>
    </xf>
    <xf numFmtId="0" fontId="39" fillId="0" borderId="0" xfId="0" applyFont="1"/>
    <xf numFmtId="0" fontId="39" fillId="0" borderId="0" xfId="0" applyFont="1" applyAlignment="1">
      <alignment horizontal="center"/>
    </xf>
    <xf numFmtId="43" fontId="39" fillId="0" borderId="0" xfId="1" applyFont="1"/>
    <xf numFmtId="165" fontId="39" fillId="0" borderId="0" xfId="1" applyNumberFormat="1" applyFont="1"/>
    <xf numFmtId="49" fontId="80" fillId="3" borderId="0" xfId="0" applyNumberFormat="1" applyFont="1" applyFill="1" applyBorder="1" applyAlignment="1" applyProtection="1">
      <alignment horizontal="left" vertical="center"/>
      <protection locked="0"/>
    </xf>
    <xf numFmtId="49" fontId="80" fillId="3" borderId="0" xfId="0" applyNumberFormat="1" applyFont="1" applyFill="1" applyBorder="1" applyAlignment="1" applyProtection="1">
      <alignment horizontal="left" vertical="top" wrapText="1"/>
      <protection locked="0"/>
    </xf>
    <xf numFmtId="49" fontId="80" fillId="3" borderId="0" xfId="0" applyNumberFormat="1" applyFont="1" applyFill="1" applyBorder="1" applyAlignment="1" applyProtection="1">
      <alignment horizontal="left" vertical="center" wrapText="1"/>
      <protection locked="0"/>
    </xf>
    <xf numFmtId="49" fontId="80" fillId="3" borderId="0" xfId="0" applyNumberFormat="1" applyFont="1" applyFill="1" applyBorder="1" applyAlignment="1" applyProtection="1">
      <alignment horizontal="center" vertical="center" wrapText="1"/>
      <protection locked="0"/>
    </xf>
    <xf numFmtId="0" fontId="39" fillId="6" borderId="0" xfId="0" applyFont="1" applyFill="1" applyAlignment="1">
      <alignment horizontal="center"/>
    </xf>
    <xf numFmtId="0" fontId="39" fillId="6" borderId="0" xfId="0" applyFont="1" applyFill="1"/>
    <xf numFmtId="43" fontId="58" fillId="5" borderId="9" xfId="1" applyFont="1" applyFill="1" applyBorder="1" applyAlignment="1">
      <alignment horizontal="center" vertical="top" wrapText="1"/>
    </xf>
    <xf numFmtId="0" fontId="49" fillId="3" borderId="10"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3" borderId="12" xfId="0" applyFont="1" applyFill="1" applyBorder="1" applyAlignment="1">
      <alignment horizontal="center" vertical="center" wrapText="1"/>
    </xf>
    <xf numFmtId="43" fontId="35" fillId="0" borderId="53" xfId="1" applyFont="1" applyBorder="1" applyAlignment="1">
      <alignment horizontal="right" wrapText="1"/>
    </xf>
    <xf numFmtId="43" fontId="28" fillId="0" borderId="96" xfId="1" applyFont="1" applyFill="1" applyBorder="1" applyAlignment="1">
      <alignment vertical="center" wrapText="1"/>
    </xf>
    <xf numFmtId="0" fontId="42" fillId="8" borderId="3" xfId="0" applyFont="1" applyFill="1" applyBorder="1"/>
    <xf numFmtId="43" fontId="42" fillId="8" borderId="3" xfId="1" applyFont="1" applyFill="1" applyBorder="1"/>
    <xf numFmtId="43" fontId="9" fillId="0" borderId="25" xfId="1" applyFont="1" applyFill="1" applyBorder="1" applyAlignment="1">
      <alignment vertical="center"/>
    </xf>
    <xf numFmtId="0" fontId="13" fillId="27" borderId="3" xfId="0" applyFont="1" applyFill="1" applyBorder="1" applyAlignment="1">
      <alignment horizontal="left"/>
    </xf>
    <xf numFmtId="0" fontId="13" fillId="27" borderId="53" xfId="0" applyFont="1" applyFill="1" applyBorder="1" applyAlignment="1">
      <alignment horizontal="left"/>
    </xf>
    <xf numFmtId="43" fontId="13" fillId="27" borderId="53" xfId="1" applyFont="1" applyFill="1" applyBorder="1" applyAlignment="1">
      <alignment horizontal="left"/>
    </xf>
    <xf numFmtId="0" fontId="6" fillId="27" borderId="48" xfId="0" applyFont="1" applyFill="1" applyBorder="1" applyAlignment="1">
      <alignment horizontal="center" vertical="top" wrapText="1"/>
    </xf>
    <xf numFmtId="0" fontId="6" fillId="27" borderId="53" xfId="0" applyFont="1" applyFill="1" applyBorder="1" applyAlignment="1">
      <alignment horizontal="justify"/>
    </xf>
    <xf numFmtId="0" fontId="6" fillId="27" borderId="3" xfId="0" applyFont="1" applyFill="1" applyBorder="1" applyAlignment="1">
      <alignment horizontal="left" vertical="center" wrapText="1"/>
    </xf>
    <xf numFmtId="0" fontId="6" fillId="16" borderId="56" xfId="0" applyFont="1" applyFill="1" applyBorder="1" applyAlignment="1">
      <alignment horizontal="center" vertical="top" wrapText="1"/>
    </xf>
    <xf numFmtId="0" fontId="6" fillId="16" borderId="4" xfId="0" applyFont="1" applyFill="1" applyBorder="1" applyAlignment="1">
      <alignment horizontal="left" vertical="center" wrapText="1"/>
    </xf>
    <xf numFmtId="0" fontId="6" fillId="16" borderId="57" xfId="0" applyFont="1" applyFill="1" applyBorder="1" applyAlignment="1">
      <alignment horizontal="justify"/>
    </xf>
    <xf numFmtId="43" fontId="6" fillId="16" borderId="57" xfId="1" applyFont="1" applyFill="1" applyBorder="1" applyAlignment="1">
      <alignment horizontal="left"/>
    </xf>
    <xf numFmtId="0" fontId="2" fillId="0" borderId="0" xfId="0" applyFont="1" applyFill="1" applyBorder="1"/>
    <xf numFmtId="0" fontId="6" fillId="0" borderId="0" xfId="0" applyFont="1" applyFill="1" applyBorder="1" applyAlignment="1">
      <alignment horizontal="center" vertical="top" wrapText="1"/>
    </xf>
    <xf numFmtId="0" fontId="6" fillId="0" borderId="0" xfId="0" applyFont="1" applyFill="1" applyBorder="1" applyAlignment="1">
      <alignment horizontal="left" vertical="center" wrapText="1"/>
    </xf>
    <xf numFmtId="0" fontId="6" fillId="0" borderId="0" xfId="0" applyFont="1" applyFill="1" applyBorder="1" applyAlignment="1">
      <alignment horizontal="justify"/>
    </xf>
    <xf numFmtId="0" fontId="13" fillId="0" borderId="0" xfId="0" applyFont="1" applyFill="1" applyBorder="1" applyAlignment="1">
      <alignment horizontal="left" vertical="top" wrapText="1"/>
    </xf>
    <xf numFmtId="43" fontId="13" fillId="0" borderId="0" xfId="1" applyFont="1" applyFill="1" applyBorder="1" applyAlignment="1">
      <alignment horizontal="left" vertical="top" wrapText="1"/>
    </xf>
    <xf numFmtId="43" fontId="22" fillId="0" borderId="0" xfId="0" applyNumberFormat="1" applyFont="1" applyFill="1" applyBorder="1" applyAlignment="1">
      <alignment horizontal="left" wrapText="1"/>
    </xf>
    <xf numFmtId="0" fontId="22" fillId="0" borderId="0" xfId="0" applyFont="1" applyFill="1" applyBorder="1" applyAlignment="1">
      <alignment horizontal="left" wrapText="1"/>
    </xf>
    <xf numFmtId="43" fontId="12" fillId="0" borderId="0" xfId="1" applyFont="1" applyFill="1" applyBorder="1" applyAlignment="1">
      <alignment horizontal="left" vertical="top"/>
    </xf>
    <xf numFmtId="43" fontId="28" fillId="0" borderId="0" xfId="1" applyFont="1" applyFill="1" applyBorder="1" applyAlignment="1">
      <alignment horizontal="left" vertical="top"/>
    </xf>
    <xf numFmtId="43" fontId="43" fillId="0" borderId="0" xfId="0" applyNumberFormat="1" applyFont="1" applyFill="1" applyBorder="1" applyAlignment="1">
      <alignment horizontal="left" wrapText="1"/>
    </xf>
    <xf numFmtId="43" fontId="43" fillId="0" borderId="0" xfId="1" applyFont="1" applyFill="1" applyBorder="1" applyAlignment="1">
      <alignment horizontal="left"/>
    </xf>
    <xf numFmtId="0" fontId="43" fillId="0" borderId="0" xfId="0" applyFont="1" applyFill="1" applyBorder="1" applyAlignment="1">
      <alignment horizontal="left" wrapText="1"/>
    </xf>
    <xf numFmtId="0" fontId="0" fillId="0" borderId="27" xfId="0" applyFill="1" applyBorder="1" applyAlignment="1">
      <alignment wrapText="1"/>
    </xf>
    <xf numFmtId="0" fontId="22" fillId="15" borderId="20" xfId="0" applyFont="1" applyFill="1" applyBorder="1" applyAlignment="1">
      <alignment horizontal="left" vertical="top"/>
    </xf>
    <xf numFmtId="43" fontId="43" fillId="0" borderId="27" xfId="1" applyFont="1" applyFill="1" applyBorder="1" applyAlignment="1">
      <alignment horizontal="left" vertical="top" wrapText="1"/>
    </xf>
    <xf numFmtId="0" fontId="13" fillId="0" borderId="0" xfId="0" applyFont="1" applyFill="1" applyAlignment="1">
      <alignment vertical="center"/>
    </xf>
    <xf numFmtId="0" fontId="0" fillId="0" borderId="0" xfId="0" applyFill="1" applyAlignment="1">
      <alignment wrapText="1"/>
    </xf>
    <xf numFmtId="43" fontId="42" fillId="0" borderId="0" xfId="1" applyFont="1" applyFill="1" applyBorder="1"/>
    <xf numFmtId="43" fontId="43" fillId="0" borderId="3" xfId="1" applyFont="1" applyFill="1" applyBorder="1" applyAlignment="1">
      <alignment horizontal="left"/>
    </xf>
    <xf numFmtId="0" fontId="44" fillId="0" borderId="0" xfId="0" applyFont="1" applyFill="1" applyBorder="1" applyAlignment="1">
      <alignment wrapText="1"/>
    </xf>
    <xf numFmtId="0" fontId="44" fillId="0" borderId="0" xfId="0" applyFont="1" applyFill="1"/>
    <xf numFmtId="43" fontId="44" fillId="0" borderId="0" xfId="1" applyFont="1" applyFill="1"/>
    <xf numFmtId="0" fontId="43" fillId="0" borderId="3" xfId="0" applyFont="1" applyFill="1" applyBorder="1" applyAlignment="1">
      <alignment horizontal="center"/>
    </xf>
    <xf numFmtId="0" fontId="7" fillId="0" borderId="53" xfId="0" applyFont="1" applyFill="1" applyBorder="1" applyAlignment="1">
      <alignment horizontal="left" vertical="center"/>
    </xf>
    <xf numFmtId="172" fontId="42" fillId="0" borderId="0" xfId="0" applyNumberFormat="1" applyFont="1" applyFill="1"/>
    <xf numFmtId="171" fontId="42" fillId="0" borderId="0" xfId="0" applyNumberFormat="1" applyFont="1" applyFill="1"/>
    <xf numFmtId="4" fontId="43" fillId="0" borderId="0" xfId="0" applyNumberFormat="1" applyFont="1" applyFill="1" applyBorder="1" applyAlignment="1">
      <alignment horizontal="right"/>
    </xf>
    <xf numFmtId="4" fontId="43" fillId="0" borderId="0" xfId="0" applyNumberFormat="1" applyFont="1" applyFill="1" applyBorder="1"/>
    <xf numFmtId="0" fontId="22" fillId="0" borderId="20" xfId="0" applyFont="1" applyFill="1" applyBorder="1" applyAlignment="1">
      <alignment horizontal="left" vertical="top" wrapText="1"/>
    </xf>
    <xf numFmtId="0" fontId="43" fillId="0" borderId="3" xfId="0" applyFont="1" applyFill="1" applyBorder="1" applyAlignment="1">
      <alignment horizontal="center" wrapText="1"/>
    </xf>
    <xf numFmtId="43" fontId="22" fillId="0" borderId="0" xfId="0" applyNumberFormat="1" applyFont="1" applyFill="1" applyBorder="1" applyAlignment="1">
      <alignment horizontal="left" vertical="center"/>
    </xf>
    <xf numFmtId="0" fontId="0" fillId="0" borderId="27" xfId="0" applyFill="1" applyBorder="1"/>
    <xf numFmtId="0" fontId="0" fillId="0" borderId="29" xfId="0" applyFill="1" applyBorder="1"/>
    <xf numFmtId="0" fontId="0" fillId="0" borderId="27" xfId="0" applyFill="1" applyBorder="1" applyAlignment="1">
      <alignment horizontal="left" wrapText="1"/>
    </xf>
    <xf numFmtId="0" fontId="0" fillId="0" borderId="60" xfId="0" applyFill="1" applyBorder="1" applyAlignment="1">
      <alignment wrapText="1"/>
    </xf>
    <xf numFmtId="4" fontId="43" fillId="0" borderId="0" xfId="0" applyNumberFormat="1" applyFont="1" applyFill="1" applyBorder="1" applyAlignment="1">
      <alignment wrapText="1"/>
    </xf>
    <xf numFmtId="0" fontId="0" fillId="0" borderId="29" xfId="0" applyFill="1" applyBorder="1" applyAlignment="1">
      <alignment wrapText="1"/>
    </xf>
    <xf numFmtId="43" fontId="44" fillId="0" borderId="0" xfId="1" applyFont="1" applyFill="1" applyBorder="1"/>
    <xf numFmtId="4" fontId="42" fillId="0" borderId="0" xfId="0" applyNumberFormat="1" applyFont="1" applyFill="1" applyBorder="1"/>
    <xf numFmtId="43" fontId="42" fillId="0" borderId="0" xfId="0" applyNumberFormat="1" applyFont="1" applyFill="1" applyBorder="1"/>
    <xf numFmtId="43" fontId="42" fillId="0" borderId="0" xfId="0" applyNumberFormat="1" applyFont="1" applyFill="1"/>
    <xf numFmtId="4" fontId="54" fillId="0" borderId="53" xfId="0" applyNumberFormat="1" applyFont="1" applyFill="1" applyBorder="1" applyAlignment="1">
      <alignment horizontal="justify" vertical="center" wrapText="1"/>
    </xf>
    <xf numFmtId="4" fontId="54" fillId="0" borderId="53" xfId="0" applyNumberFormat="1" applyFont="1" applyFill="1" applyBorder="1" applyAlignment="1">
      <alignment horizontal="left" vertical="center" wrapText="1"/>
    </xf>
    <xf numFmtId="0" fontId="13" fillId="16" borderId="101" xfId="0" applyFont="1" applyFill="1" applyBorder="1" applyAlignment="1">
      <alignment horizontal="left" vertical="center" wrapText="1"/>
    </xf>
    <xf numFmtId="0" fontId="13" fillId="16" borderId="102" xfId="0" applyFont="1" applyFill="1" applyBorder="1" applyAlignment="1">
      <alignment horizontal="left" vertical="center" wrapText="1"/>
    </xf>
    <xf numFmtId="0" fontId="13" fillId="16" borderId="104" xfId="0" applyFont="1" applyFill="1" applyBorder="1" applyAlignment="1">
      <alignment horizontal="left" vertical="center" wrapText="1"/>
    </xf>
    <xf numFmtId="0" fontId="43" fillId="27" borderId="3" xfId="0" applyFont="1" applyFill="1" applyBorder="1" applyAlignment="1">
      <alignment horizontal="left" vertical="top"/>
    </xf>
    <xf numFmtId="0" fontId="43" fillId="27" borderId="20" xfId="0" applyFont="1" applyFill="1" applyBorder="1" applyAlignment="1">
      <alignment horizontal="left" vertical="top"/>
    </xf>
    <xf numFmtId="0" fontId="43" fillId="27" borderId="3" xfId="0" applyFont="1" applyFill="1" applyBorder="1" applyAlignment="1">
      <alignment horizontal="left"/>
    </xf>
    <xf numFmtId="43" fontId="43" fillId="27" borderId="3" xfId="1" applyFont="1" applyFill="1" applyBorder="1" applyAlignment="1">
      <alignment horizontal="left"/>
    </xf>
    <xf numFmtId="0" fontId="22" fillId="15" borderId="3" xfId="0" applyFont="1" applyFill="1" applyBorder="1" applyAlignment="1">
      <alignment horizontal="left"/>
    </xf>
    <xf numFmtId="43" fontId="22" fillId="15" borderId="3" xfId="1" applyFont="1" applyFill="1" applyBorder="1" applyAlignment="1">
      <alignment horizontal="left"/>
    </xf>
    <xf numFmtId="43" fontId="43" fillId="15" borderId="3" xfId="1" applyFont="1" applyFill="1" applyBorder="1" applyAlignment="1">
      <alignment horizontal="left"/>
    </xf>
    <xf numFmtId="43" fontId="12" fillId="15" borderId="3" xfId="1" applyFont="1" applyFill="1" applyBorder="1" applyAlignment="1">
      <alignment horizontal="left" vertical="top"/>
    </xf>
    <xf numFmtId="43" fontId="12" fillId="15" borderId="27" xfId="1" applyFont="1" applyFill="1" applyBorder="1" applyAlignment="1">
      <alignment horizontal="left" vertical="top"/>
    </xf>
    <xf numFmtId="0" fontId="22" fillId="15" borderId="5" xfId="0" applyFont="1" applyFill="1" applyBorder="1" applyAlignment="1">
      <alignment horizontal="left" vertical="top"/>
    </xf>
    <xf numFmtId="0" fontId="22" fillId="15" borderId="3" xfId="0" applyFont="1" applyFill="1" applyBorder="1" applyAlignment="1">
      <alignment horizontal="center"/>
    </xf>
    <xf numFmtId="0" fontId="12" fillId="15" borderId="3" xfId="1" applyNumberFormat="1" applyFont="1" applyFill="1" applyBorder="1" applyAlignment="1">
      <alignment horizontal="left" vertical="top"/>
    </xf>
    <xf numFmtId="43" fontId="66" fillId="0" borderId="53" xfId="1" applyFont="1" applyBorder="1" applyAlignment="1">
      <alignment wrapText="1"/>
    </xf>
    <xf numFmtId="43" fontId="13" fillId="0" borderId="0" xfId="1" applyFont="1"/>
    <xf numFmtId="0" fontId="6" fillId="27" borderId="56" xfId="0" applyFont="1" applyFill="1" applyBorder="1" applyAlignment="1">
      <alignment horizontal="center" vertical="top" wrapText="1"/>
    </xf>
    <xf numFmtId="43" fontId="82" fillId="5" borderId="3" xfId="1" applyFont="1" applyFill="1" applyBorder="1" applyAlignment="1"/>
    <xf numFmtId="0" fontId="6" fillId="0" borderId="42" xfId="0" applyFont="1" applyBorder="1" applyAlignment="1">
      <alignment horizontal="center" vertical="top" wrapText="1"/>
    </xf>
    <xf numFmtId="0" fontId="6" fillId="0" borderId="45" xfId="0" applyFont="1" applyBorder="1" applyAlignment="1">
      <alignment horizontal="center" vertical="top" wrapText="1"/>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0" borderId="42" xfId="0" applyFont="1" applyBorder="1" applyAlignment="1">
      <alignment horizontal="center" vertical="center" wrapText="1"/>
    </xf>
    <xf numFmtId="0" fontId="6" fillId="21" borderId="42" xfId="0" applyFont="1" applyFill="1" applyBorder="1" applyAlignment="1">
      <alignment horizontal="center" vertical="top" wrapText="1"/>
    </xf>
    <xf numFmtId="0" fontId="0" fillId="0" borderId="0" xfId="0"/>
    <xf numFmtId="15" fontId="49" fillId="8" borderId="9" xfId="0" applyNumberFormat="1" applyFont="1" applyFill="1" applyBorder="1"/>
    <xf numFmtId="168" fontId="37" fillId="8" borderId="9" xfId="1" applyNumberFormat="1" applyFont="1" applyFill="1" applyBorder="1" applyAlignment="1">
      <alignment horizontal="center" vertical="center"/>
    </xf>
    <xf numFmtId="15" fontId="49" fillId="9" borderId="9" xfId="0" applyNumberFormat="1" applyFont="1" applyFill="1" applyBorder="1"/>
    <xf numFmtId="168" fontId="37" fillId="9" borderId="9" xfId="1" applyNumberFormat="1" applyFont="1" applyFill="1" applyBorder="1" applyAlignment="1">
      <alignment horizontal="center" vertical="center"/>
    </xf>
    <xf numFmtId="168" fontId="37" fillId="9" borderId="9" xfId="0" applyNumberFormat="1" applyFont="1" applyFill="1" applyBorder="1" applyAlignment="1">
      <alignment horizontal="center" vertical="center"/>
    </xf>
    <xf numFmtId="4" fontId="3" fillId="9" borderId="10" xfId="0" applyNumberFormat="1" applyFont="1" applyFill="1" applyBorder="1" applyAlignment="1"/>
    <xf numFmtId="168" fontId="37" fillId="9" borderId="62" xfId="0" applyNumberFormat="1" applyFont="1" applyFill="1" applyBorder="1" applyAlignment="1">
      <alignment horizontal="center" vertical="center"/>
    </xf>
    <xf numFmtId="168" fontId="37" fillId="9" borderId="3" xfId="0" applyNumberFormat="1" applyFont="1" applyFill="1" applyBorder="1" applyAlignment="1">
      <alignment horizontal="center" vertical="center"/>
    </xf>
    <xf numFmtId="4" fontId="3" fillId="8" borderId="12" xfId="0" applyNumberFormat="1" applyFont="1" applyFill="1" applyBorder="1" applyAlignment="1">
      <alignment vertical="top" wrapText="1"/>
    </xf>
    <xf numFmtId="167" fontId="48" fillId="8" borderId="62" xfId="0" applyNumberFormat="1" applyFont="1" applyFill="1" applyBorder="1" applyAlignment="1">
      <alignment horizontal="center" vertical="center" wrapText="1"/>
    </xf>
    <xf numFmtId="43" fontId="49" fillId="8" borderId="11" xfId="1" applyFont="1" applyFill="1" applyBorder="1" applyAlignment="1">
      <alignment vertical="center"/>
    </xf>
    <xf numFmtId="168" fontId="3" fillId="8" borderId="3" xfId="0" applyNumberFormat="1" applyFont="1" applyFill="1" applyBorder="1" applyAlignment="1">
      <alignment horizontal="center"/>
    </xf>
    <xf numFmtId="43" fontId="3" fillId="0" borderId="3" xfId="0" applyNumberFormat="1" applyFont="1" applyBorder="1"/>
    <xf numFmtId="0" fontId="16" fillId="3" borderId="3" xfId="0" applyFont="1" applyFill="1" applyBorder="1" applyAlignment="1">
      <alignment horizontal="left" vertical="top" wrapText="1"/>
    </xf>
    <xf numFmtId="0" fontId="15" fillId="0" borderId="3" xfId="0" applyFont="1" applyBorder="1" applyAlignment="1">
      <alignment horizontal="center" vertical="top" wrapText="1"/>
    </xf>
    <xf numFmtId="0" fontId="14" fillId="8" borderId="3" xfId="0" applyFont="1" applyFill="1" applyBorder="1" applyAlignment="1">
      <alignment vertical="top" wrapText="1"/>
    </xf>
    <xf numFmtId="0" fontId="16" fillId="3" borderId="3" xfId="0" applyFont="1" applyFill="1" applyBorder="1" applyAlignment="1">
      <alignment horizontal="justify" vertical="top" wrapText="1"/>
    </xf>
    <xf numFmtId="0" fontId="15" fillId="3" borderId="105" xfId="0" applyFont="1" applyFill="1" applyBorder="1" applyAlignment="1">
      <alignment vertical="top" wrapText="1"/>
    </xf>
    <xf numFmtId="0" fontId="28" fillId="0" borderId="0" xfId="0" applyFont="1"/>
    <xf numFmtId="0" fontId="15" fillId="7" borderId="3" xfId="0" applyFont="1" applyFill="1" applyBorder="1" applyAlignment="1">
      <alignment horizontal="center" vertical="top" wrapText="1"/>
    </xf>
    <xf numFmtId="0" fontId="15" fillId="0" borderId="3" xfId="0" applyFont="1" applyBorder="1" applyAlignment="1">
      <alignment horizontal="center" vertical="top"/>
    </xf>
    <xf numFmtId="0" fontId="15" fillId="7" borderId="3" xfId="0" applyFont="1" applyFill="1" applyBorder="1" applyAlignment="1">
      <alignment horizontal="right" vertical="top" wrapText="1"/>
    </xf>
    <xf numFmtId="0" fontId="15" fillId="7" borderId="3" xfId="0" applyFont="1" applyFill="1" applyBorder="1" applyAlignment="1">
      <alignment horizontal="left" vertical="top" wrapText="1"/>
    </xf>
    <xf numFmtId="0" fontId="15" fillId="0" borderId="3" xfId="0" applyFont="1" applyBorder="1" applyAlignment="1">
      <alignment horizontal="right" vertical="top"/>
    </xf>
    <xf numFmtId="43" fontId="15" fillId="7" borderId="3" xfId="1" applyFont="1" applyFill="1" applyBorder="1" applyAlignment="1">
      <alignment horizontal="right" vertical="top" wrapText="1"/>
    </xf>
    <xf numFmtId="0" fontId="15" fillId="0" borderId="3" xfId="0" applyFont="1" applyBorder="1" applyAlignment="1">
      <alignment horizontal="right" vertical="top" wrapText="1"/>
    </xf>
    <xf numFmtId="43" fontId="15" fillId="0" borderId="3" xfId="1" applyFont="1" applyBorder="1" applyAlignment="1">
      <alignment horizontal="right" vertical="top" wrapText="1"/>
    </xf>
    <xf numFmtId="0" fontId="14" fillId="8" borderId="3" xfId="0" applyFont="1" applyFill="1" applyBorder="1" applyAlignment="1">
      <alignment horizontal="center" vertical="top" wrapText="1"/>
    </xf>
    <xf numFmtId="0" fontId="61" fillId="8" borderId="3" xfId="0" applyFont="1" applyFill="1" applyBorder="1" applyAlignment="1">
      <alignment horizontal="right" vertical="top" wrapText="1"/>
    </xf>
    <xf numFmtId="0" fontId="32" fillId="8" borderId="0" xfId="0" applyFont="1" applyFill="1"/>
    <xf numFmtId="0" fontId="16" fillId="3" borderId="3" xfId="0" applyFont="1" applyFill="1" applyBorder="1" applyAlignment="1">
      <alignment horizontal="left" vertical="top"/>
    </xf>
    <xf numFmtId="0" fontId="16" fillId="3" borderId="3" xfId="0" applyFont="1" applyFill="1" applyBorder="1" applyAlignment="1">
      <alignment horizontal="justify" vertical="top"/>
    </xf>
    <xf numFmtId="0" fontId="16" fillId="3" borderId="3" xfId="0" applyFont="1" applyFill="1" applyBorder="1" applyAlignment="1">
      <alignment vertical="top" wrapText="1"/>
    </xf>
    <xf numFmtId="0" fontId="14" fillId="15" borderId="3" xfId="0" applyFont="1" applyFill="1" applyBorder="1" applyAlignment="1">
      <alignment horizontal="center" vertical="top" wrapText="1"/>
    </xf>
    <xf numFmtId="0" fontId="14" fillId="21" borderId="3" xfId="0" applyFont="1" applyFill="1" applyBorder="1" applyAlignment="1">
      <alignment horizontal="center" vertical="top" wrapText="1"/>
    </xf>
    <xf numFmtId="0" fontId="16" fillId="3" borderId="28" xfId="0" applyFont="1" applyFill="1" applyBorder="1" applyAlignment="1">
      <alignment horizontal="left" vertical="top" wrapText="1"/>
    </xf>
    <xf numFmtId="0" fontId="15" fillId="0" borderId="28" xfId="0" applyFont="1" applyBorder="1" applyAlignment="1">
      <alignment horizontal="left" vertical="top" wrapText="1"/>
    </xf>
    <xf numFmtId="0" fontId="15" fillId="0" borderId="28" xfId="0" applyFont="1" applyBorder="1" applyAlignment="1">
      <alignment horizontal="center" vertical="top" wrapText="1"/>
    </xf>
    <xf numFmtId="0" fontId="16" fillId="3" borderId="28" xfId="0" applyFont="1" applyFill="1" applyBorder="1" applyAlignment="1">
      <alignment horizontal="justify" vertical="top" wrapText="1"/>
    </xf>
    <xf numFmtId="0" fontId="15" fillId="3" borderId="106" xfId="0" applyFont="1" applyFill="1" applyBorder="1" applyAlignment="1">
      <alignment vertical="top" wrapText="1"/>
    </xf>
    <xf numFmtId="0" fontId="14" fillId="8" borderId="28" xfId="0" applyFont="1" applyFill="1" applyBorder="1" applyAlignment="1">
      <alignment horizontal="center" vertical="top" wrapText="1"/>
    </xf>
    <xf numFmtId="0" fontId="14" fillId="15" borderId="28" xfId="0" applyFont="1" applyFill="1" applyBorder="1" applyAlignment="1">
      <alignment horizontal="center" vertical="top" wrapText="1"/>
    </xf>
    <xf numFmtId="0" fontId="14" fillId="21" borderId="28" xfId="0" applyFont="1" applyFill="1" applyBorder="1" applyAlignment="1">
      <alignment horizontal="center" vertical="top" wrapText="1"/>
    </xf>
    <xf numFmtId="0" fontId="28" fillId="0" borderId="3" xfId="0" applyFont="1" applyBorder="1"/>
    <xf numFmtId="0" fontId="32" fillId="8" borderId="3" xfId="0" applyFont="1" applyFill="1" applyBorder="1"/>
    <xf numFmtId="0" fontId="26" fillId="0" borderId="3" xfId="0" applyFont="1" applyBorder="1" applyAlignment="1">
      <alignment horizontal="center" vertical="top"/>
    </xf>
    <xf numFmtId="43" fontId="15" fillId="24" borderId="3" xfId="1" applyFont="1" applyFill="1" applyBorder="1" applyAlignment="1">
      <alignment horizontal="center" vertical="top" wrapText="1"/>
    </xf>
    <xf numFmtId="43" fontId="15" fillId="24" borderId="3" xfId="0" applyNumberFormat="1" applyFont="1" applyFill="1" applyBorder="1" applyAlignment="1">
      <alignment horizontal="center" vertical="top" wrapText="1"/>
    </xf>
    <xf numFmtId="0" fontId="14" fillId="8" borderId="3" xfId="0" applyFont="1" applyFill="1" applyBorder="1" applyAlignment="1">
      <alignment horizontal="right" vertical="top" wrapText="1"/>
    </xf>
    <xf numFmtId="0" fontId="84" fillId="8" borderId="3" xfId="0" applyFont="1" applyFill="1" applyBorder="1" applyAlignment="1">
      <alignment horizontal="right" vertical="top" wrapText="1"/>
    </xf>
    <xf numFmtId="43" fontId="14" fillId="8" borderId="3" xfId="1" applyFont="1" applyFill="1" applyBorder="1" applyAlignment="1">
      <alignment horizontal="right" vertical="top" wrapText="1"/>
    </xf>
    <xf numFmtId="0" fontId="26" fillId="0" borderId="3" xfId="0" applyFont="1" applyBorder="1" applyAlignment="1">
      <alignment horizontal="right" vertical="top"/>
    </xf>
    <xf numFmtId="43" fontId="26" fillId="0" borderId="3" xfId="1" applyFont="1" applyBorder="1" applyAlignment="1">
      <alignment horizontal="right" vertical="top"/>
    </xf>
    <xf numFmtId="3" fontId="15" fillId="7" borderId="3" xfId="0" applyNumberFormat="1" applyFont="1" applyFill="1" applyBorder="1" applyAlignment="1">
      <alignment horizontal="right" vertical="top" wrapText="1"/>
    </xf>
    <xf numFmtId="0" fontId="26" fillId="7" borderId="3" xfId="0" applyFont="1" applyFill="1" applyBorder="1" applyAlignment="1">
      <alignment horizontal="right" vertical="top" wrapText="1"/>
    </xf>
    <xf numFmtId="0" fontId="26" fillId="0" borderId="3" xfId="0" applyFont="1" applyBorder="1" applyAlignment="1">
      <alignment horizontal="right" vertical="top" wrapText="1"/>
    </xf>
    <xf numFmtId="43" fontId="26" fillId="0" borderId="3" xfId="1" applyFont="1" applyBorder="1" applyAlignment="1">
      <alignment horizontal="right" vertical="top" wrapText="1"/>
    </xf>
    <xf numFmtId="0" fontId="14" fillId="15" borderId="3" xfId="0" applyFont="1" applyFill="1" applyBorder="1" applyAlignment="1">
      <alignment horizontal="right" vertical="top" wrapText="1"/>
    </xf>
    <xf numFmtId="43" fontId="84" fillId="8" borderId="3" xfId="1" applyFont="1" applyFill="1" applyBorder="1" applyAlignment="1">
      <alignment horizontal="right" vertical="top"/>
    </xf>
    <xf numFmtId="0" fontId="14" fillId="21" borderId="3" xfId="0" applyFont="1" applyFill="1" applyBorder="1" applyAlignment="1">
      <alignment horizontal="right" vertical="top" wrapText="1"/>
    </xf>
    <xf numFmtId="43" fontId="14" fillId="21" borderId="3" xfId="0" applyNumberFormat="1" applyFont="1" applyFill="1" applyBorder="1" applyAlignment="1">
      <alignment horizontal="right" vertical="top" wrapText="1"/>
    </xf>
    <xf numFmtId="4" fontId="14" fillId="21" borderId="3" xfId="0" applyNumberFormat="1" applyFont="1" applyFill="1" applyBorder="1" applyAlignment="1">
      <alignment horizontal="right" vertical="top" wrapText="1"/>
    </xf>
    <xf numFmtId="0" fontId="24" fillId="21" borderId="3" xfId="0" applyFont="1" applyFill="1" applyBorder="1" applyAlignment="1">
      <alignment vertical="top" wrapText="1"/>
    </xf>
    <xf numFmtId="0" fontId="14" fillId="15" borderId="28" xfId="0" applyFont="1" applyFill="1" applyBorder="1" applyAlignment="1">
      <alignment vertical="top" wrapText="1"/>
    </xf>
    <xf numFmtId="0" fontId="14" fillId="15" borderId="3" xfId="0" applyFont="1" applyFill="1" applyBorder="1" applyAlignment="1">
      <alignment vertical="top" wrapText="1"/>
    </xf>
    <xf numFmtId="15" fontId="15" fillId="36" borderId="3" xfId="0" applyNumberFormat="1" applyFont="1" applyFill="1" applyBorder="1" applyAlignment="1">
      <alignment vertical="top" wrapText="1"/>
    </xf>
    <xf numFmtId="15" fontId="15" fillId="37" borderId="3" xfId="0" applyNumberFormat="1" applyFont="1" applyFill="1" applyBorder="1" applyAlignment="1">
      <alignment vertical="top" wrapText="1"/>
    </xf>
    <xf numFmtId="15" fontId="15" fillId="38" borderId="3" xfId="0" applyNumberFormat="1" applyFont="1" applyFill="1" applyBorder="1" applyAlignment="1">
      <alignment vertical="top" wrapText="1"/>
    </xf>
    <xf numFmtId="0" fontId="24" fillId="21" borderId="28" xfId="0" applyFont="1" applyFill="1" applyBorder="1" applyAlignment="1">
      <alignment vertical="top" wrapText="1"/>
    </xf>
    <xf numFmtId="0" fontId="32" fillId="15" borderId="3" xfId="0" applyFont="1" applyFill="1" applyBorder="1"/>
    <xf numFmtId="0" fontId="32" fillId="15" borderId="0" xfId="0" applyFont="1" applyFill="1"/>
    <xf numFmtId="0" fontId="14" fillId="8" borderId="28" xfId="0" applyFont="1" applyFill="1" applyBorder="1" applyAlignment="1">
      <alignment vertical="top" wrapText="1"/>
    </xf>
    <xf numFmtId="0" fontId="14" fillId="3" borderId="28" xfId="0" applyFont="1" applyFill="1" applyBorder="1" applyAlignment="1">
      <alignment vertical="top" wrapText="1"/>
    </xf>
    <xf numFmtId="0" fontId="14" fillId="3" borderId="3" xfId="0" applyFont="1" applyFill="1" applyBorder="1" applyAlignment="1">
      <alignment vertical="top" wrapText="1"/>
    </xf>
    <xf numFmtId="4" fontId="14" fillId="3" borderId="3" xfId="0" applyNumberFormat="1" applyFont="1" applyFill="1" applyBorder="1" applyAlignment="1">
      <alignment vertical="top" wrapText="1"/>
    </xf>
    <xf numFmtId="15" fontId="14" fillId="36" borderId="3" xfId="0" applyNumberFormat="1" applyFont="1" applyFill="1" applyBorder="1" applyAlignment="1">
      <alignment vertical="top" wrapText="1"/>
    </xf>
    <xf numFmtId="43" fontId="14" fillId="3" borderId="3" xfId="1" applyFont="1" applyFill="1" applyBorder="1" applyAlignment="1">
      <alignment vertical="top" wrapText="1"/>
    </xf>
    <xf numFmtId="0" fontId="32" fillId="0" borderId="3" xfId="0" applyFont="1" applyBorder="1"/>
    <xf numFmtId="0" fontId="14" fillId="21" borderId="28" xfId="0" applyFont="1" applyFill="1" applyBorder="1" applyAlignment="1">
      <alignment vertical="top" wrapText="1"/>
    </xf>
    <xf numFmtId="0" fontId="14" fillId="21" borderId="3" xfId="0" applyFont="1" applyFill="1" applyBorder="1" applyAlignment="1">
      <alignment vertical="top" wrapText="1"/>
    </xf>
    <xf numFmtId="4" fontId="14" fillId="21" borderId="3" xfId="0" applyNumberFormat="1" applyFont="1" applyFill="1" applyBorder="1" applyAlignment="1">
      <alignment vertical="top" wrapText="1"/>
    </xf>
    <xf numFmtId="0" fontId="27" fillId="0" borderId="0" xfId="0" applyFont="1"/>
    <xf numFmtId="0" fontId="14" fillId="24" borderId="28" xfId="0" applyFont="1" applyFill="1" applyBorder="1" applyAlignment="1">
      <alignment horizontal="center" vertical="top" wrapText="1"/>
    </xf>
    <xf numFmtId="0" fontId="27" fillId="24" borderId="3" xfId="0" applyFont="1" applyFill="1" applyBorder="1" applyAlignment="1">
      <alignment horizontal="center" vertical="top" wrapText="1"/>
    </xf>
    <xf numFmtId="43" fontId="27" fillId="24" borderId="3" xfId="1" applyFont="1" applyFill="1" applyBorder="1" applyAlignment="1">
      <alignment horizontal="center" vertical="top" wrapText="1"/>
    </xf>
    <xf numFmtId="0" fontId="14" fillId="24" borderId="3" xfId="0" applyFont="1" applyFill="1" applyBorder="1" applyAlignment="1">
      <alignment horizontal="center" vertical="top" wrapText="1"/>
    </xf>
    <xf numFmtId="0" fontId="14" fillId="24" borderId="3" xfId="0" applyFont="1" applyFill="1" applyBorder="1" applyAlignment="1">
      <alignment horizontal="right" vertical="top" wrapText="1"/>
    </xf>
    <xf numFmtId="43" fontId="14" fillId="24" borderId="3" xfId="1" applyFont="1" applyFill="1" applyBorder="1" applyAlignment="1">
      <alignment horizontal="right" vertical="top" wrapText="1"/>
    </xf>
    <xf numFmtId="0" fontId="84" fillId="24" borderId="3" xfId="0" applyFont="1" applyFill="1" applyBorder="1" applyAlignment="1">
      <alignment horizontal="right" vertical="top" wrapText="1"/>
    </xf>
    <xf numFmtId="0" fontId="84" fillId="15" borderId="3" xfId="0" applyFont="1" applyFill="1" applyBorder="1" applyAlignment="1">
      <alignment horizontal="center" vertical="top" wrapText="1"/>
    </xf>
    <xf numFmtId="0" fontId="84" fillId="15" borderId="3" xfId="0" applyFont="1" applyFill="1" applyBorder="1" applyAlignment="1">
      <alignment horizontal="right" vertical="top" wrapText="1"/>
    </xf>
    <xf numFmtId="43" fontId="84" fillId="15" borderId="3" xfId="1" applyFont="1" applyFill="1" applyBorder="1" applyAlignment="1">
      <alignment horizontal="right" vertical="top"/>
    </xf>
    <xf numFmtId="0" fontId="14" fillId="3" borderId="28" xfId="0" applyFont="1" applyFill="1" applyBorder="1" applyAlignment="1">
      <alignment horizontal="center" vertical="top" wrapText="1"/>
    </xf>
    <xf numFmtId="0" fontId="14" fillId="3" borderId="3" xfId="0" applyFont="1" applyFill="1" applyBorder="1" applyAlignment="1">
      <alignment horizontal="center" vertical="top" wrapText="1"/>
    </xf>
    <xf numFmtId="0" fontId="14" fillId="3" borderId="3" xfId="0" applyFont="1" applyFill="1" applyBorder="1" applyAlignment="1">
      <alignment horizontal="right" vertical="top" wrapText="1"/>
    </xf>
    <xf numFmtId="43" fontId="84" fillId="0" borderId="3" xfId="1" applyFont="1" applyBorder="1" applyAlignment="1">
      <alignment horizontal="right" vertical="top"/>
    </xf>
    <xf numFmtId="0" fontId="84" fillId="0" borderId="3" xfId="0" applyFont="1" applyBorder="1" applyAlignment="1">
      <alignment horizontal="right" vertical="top"/>
    </xf>
    <xf numFmtId="43" fontId="32" fillId="0" borderId="0" xfId="1" applyFont="1"/>
    <xf numFmtId="0" fontId="24" fillId="21" borderId="3" xfId="0" applyFont="1" applyFill="1" applyBorder="1" applyAlignment="1">
      <alignment horizontal="center" vertical="top" wrapText="1"/>
    </xf>
    <xf numFmtId="43" fontId="24" fillId="21" borderId="3" xfId="1" applyFont="1" applyFill="1" applyBorder="1" applyAlignment="1">
      <alignment horizontal="center" vertical="top" wrapText="1"/>
    </xf>
    <xf numFmtId="0" fontId="26" fillId="3" borderId="3" xfId="0" applyFont="1" applyFill="1" applyBorder="1"/>
    <xf numFmtId="0" fontId="26" fillId="3" borderId="3" xfId="0" applyFont="1" applyFill="1" applyBorder="1" applyAlignment="1">
      <alignment horizontal="right" vertical="top" wrapText="1"/>
    </xf>
    <xf numFmtId="43" fontId="15" fillId="3" borderId="3" xfId="1" applyFont="1" applyFill="1" applyBorder="1" applyAlignment="1">
      <alignment horizontal="right" vertical="top" wrapText="1"/>
    </xf>
    <xf numFmtId="0" fontId="28" fillId="0" borderId="0" xfId="0" applyFont="1" applyAlignment="1">
      <alignment horizontal="left" vertical="top"/>
    </xf>
    <xf numFmtId="0" fontId="62" fillId="0" borderId="0" xfId="0" applyFont="1" applyAlignment="1">
      <alignment horizontal="left" vertical="top"/>
    </xf>
    <xf numFmtId="0" fontId="28" fillId="0" borderId="4" xfId="0" applyFont="1" applyBorder="1" applyAlignment="1">
      <alignment horizontal="left" vertical="top"/>
    </xf>
    <xf numFmtId="0" fontId="87" fillId="21" borderId="3" xfId="6" applyFont="1" applyFill="1" applyBorder="1" applyAlignment="1" applyProtection="1">
      <alignment vertical="top" wrapText="1"/>
    </xf>
    <xf numFmtId="0" fontId="27" fillId="15" borderId="0" xfId="0" applyFont="1" applyFill="1" applyAlignment="1">
      <alignment horizontal="left" vertical="top"/>
    </xf>
    <xf numFmtId="0" fontId="27" fillId="15" borderId="0" xfId="0" applyFont="1" applyFill="1"/>
    <xf numFmtId="43" fontId="15" fillId="0" borderId="3" xfId="1" applyFont="1" applyBorder="1" applyAlignment="1">
      <alignment vertical="top"/>
    </xf>
    <xf numFmtId="43" fontId="28" fillId="0" borderId="0" xfId="1" applyFont="1" applyAlignment="1">
      <alignment horizontal="left" vertical="top"/>
    </xf>
    <xf numFmtId="43" fontId="28" fillId="0" borderId="0" xfId="0" applyNumberFormat="1" applyFont="1" applyAlignment="1">
      <alignment horizontal="left" vertical="top"/>
    </xf>
    <xf numFmtId="43" fontId="14" fillId="8" borderId="3" xfId="1" applyFont="1" applyFill="1" applyBorder="1" applyAlignment="1">
      <alignment vertical="top"/>
    </xf>
    <xf numFmtId="43" fontId="27" fillId="8" borderId="0" xfId="1" applyFont="1" applyFill="1" applyAlignment="1">
      <alignment horizontal="left" vertical="top"/>
    </xf>
    <xf numFmtId="43" fontId="27" fillId="8" borderId="0" xfId="0" applyNumberFormat="1" applyFont="1" applyFill="1" applyAlignment="1">
      <alignment horizontal="left" vertical="top"/>
    </xf>
    <xf numFmtId="0" fontId="27" fillId="8" borderId="0" xfId="0" applyFont="1" applyFill="1"/>
    <xf numFmtId="43" fontId="27" fillId="15" borderId="0" xfId="1" applyFont="1" applyFill="1" applyAlignment="1">
      <alignment horizontal="left" vertical="top"/>
    </xf>
    <xf numFmtId="43" fontId="27" fillId="15" borderId="0" xfId="0" applyNumberFormat="1" applyFont="1" applyFill="1" applyAlignment="1">
      <alignment horizontal="left" vertical="top"/>
    </xf>
    <xf numFmtId="43" fontId="14" fillId="15" borderId="3" xfId="1" applyFont="1" applyFill="1" applyBorder="1" applyAlignment="1">
      <alignment vertical="top"/>
    </xf>
    <xf numFmtId="0" fontId="27" fillId="8" borderId="0" xfId="0" applyFont="1" applyFill="1" applyAlignment="1">
      <alignment horizontal="left" vertical="top"/>
    </xf>
    <xf numFmtId="43" fontId="27" fillId="3" borderId="0" xfId="1" applyFont="1" applyFill="1" applyAlignment="1">
      <alignment horizontal="left" vertical="top"/>
    </xf>
    <xf numFmtId="0" fontId="27" fillId="3" borderId="0" xfId="0" applyFont="1" applyFill="1" applyAlignment="1">
      <alignment horizontal="left" vertical="top"/>
    </xf>
    <xf numFmtId="0" fontId="27" fillId="3" borderId="0" xfId="0" applyFont="1" applyFill="1"/>
    <xf numFmtId="0" fontId="24" fillId="0" borderId="0" xfId="0" applyFont="1" applyAlignment="1">
      <alignment horizontal="left" vertical="top"/>
    </xf>
    <xf numFmtId="0" fontId="27" fillId="0" borderId="0" xfId="0" applyFont="1" applyAlignment="1">
      <alignment horizontal="left" vertical="top"/>
    </xf>
    <xf numFmtId="4" fontId="28" fillId="0" borderId="0" xfId="0" applyNumberFormat="1" applyFont="1" applyBorder="1" applyAlignment="1">
      <alignment horizontal="left" vertical="top"/>
    </xf>
    <xf numFmtId="0" fontId="28" fillId="0" borderId="0" xfId="0" applyFont="1" applyBorder="1" applyAlignment="1">
      <alignment horizontal="left" vertical="top"/>
    </xf>
    <xf numFmtId="0" fontId="83" fillId="0" borderId="0" xfId="0" applyFont="1" applyAlignment="1">
      <alignment horizontal="left" vertical="top"/>
    </xf>
    <xf numFmtId="0" fontId="62" fillId="0" borderId="0" xfId="0" applyFont="1"/>
    <xf numFmtId="0" fontId="28" fillId="0" borderId="0" xfId="0" applyFont="1" applyBorder="1"/>
    <xf numFmtId="0" fontId="24" fillId="0" borderId="3" xfId="0" applyFont="1" applyBorder="1" applyAlignment="1">
      <alignment horizontal="center" vertical="center"/>
    </xf>
    <xf numFmtId="0" fontId="15" fillId="0" borderId="0" xfId="0" applyFont="1" applyAlignment="1">
      <alignment horizontal="center" vertical="center"/>
    </xf>
    <xf numFmtId="0" fontId="14" fillId="15" borderId="3" xfId="0" applyFont="1" applyFill="1" applyBorder="1" applyAlignment="1">
      <alignment horizontal="center" vertical="center"/>
    </xf>
    <xf numFmtId="0" fontId="15" fillId="0" borderId="3" xfId="0" applyFont="1" applyBorder="1" applyAlignment="1">
      <alignment horizontal="center" vertical="center"/>
    </xf>
    <xf numFmtId="0" fontId="14" fillId="8" borderId="3" xfId="0" applyFont="1" applyFill="1" applyBorder="1" applyAlignment="1">
      <alignment horizontal="center" vertical="center"/>
    </xf>
    <xf numFmtId="0" fontId="14" fillId="3" borderId="3" xfId="0" applyFont="1" applyFill="1" applyBorder="1" applyAlignment="1">
      <alignment horizontal="center" vertical="center"/>
    </xf>
    <xf numFmtId="0" fontId="14" fillId="0" borderId="3" xfId="0" applyFont="1" applyBorder="1" applyAlignment="1">
      <alignment horizontal="center" vertical="center"/>
    </xf>
    <xf numFmtId="43" fontId="44" fillId="15" borderId="3" xfId="1" applyFont="1" applyFill="1" applyBorder="1" applyAlignment="1">
      <alignment horizontal="right" vertical="top"/>
    </xf>
    <xf numFmtId="43" fontId="44" fillId="0" borderId="3" xfId="1" applyFont="1" applyBorder="1" applyAlignment="1">
      <alignment horizontal="right" vertical="top"/>
    </xf>
    <xf numFmtId="0" fontId="49" fillId="10" borderId="31" xfId="0" applyFont="1" applyFill="1" applyBorder="1" applyAlignment="1"/>
    <xf numFmtId="0" fontId="49" fillId="3" borderId="0" xfId="0" applyFont="1" applyFill="1" applyBorder="1" applyAlignment="1"/>
    <xf numFmtId="49" fontId="37" fillId="3" borderId="0" xfId="0" applyNumberFormat="1" applyFont="1" applyFill="1" applyBorder="1" applyAlignment="1" applyProtection="1">
      <alignment vertical="center"/>
      <protection locked="0"/>
    </xf>
    <xf numFmtId="0" fontId="49" fillId="0" borderId="0" xfId="0" applyFont="1"/>
    <xf numFmtId="0" fontId="49" fillId="3" borderId="0" xfId="0" applyFont="1" applyFill="1" applyBorder="1"/>
    <xf numFmtId="0" fontId="49" fillId="3" borderId="0" xfId="0" applyFont="1" applyFill="1" applyBorder="1" applyAlignment="1">
      <alignment vertical="center"/>
    </xf>
    <xf numFmtId="0" fontId="49" fillId="0" borderId="0" xfId="0" applyFont="1" applyAlignment="1">
      <alignment vertical="center"/>
    </xf>
    <xf numFmtId="49" fontId="37" fillId="6" borderId="3" xfId="0" applyNumberFormat="1" applyFont="1" applyFill="1" applyBorder="1" applyAlignment="1">
      <alignment horizontal="center" vertical="center" wrapText="1"/>
    </xf>
    <xf numFmtId="0" fontId="37" fillId="6" borderId="3" xfId="0" applyNumberFormat="1" applyFont="1" applyFill="1" applyBorder="1" applyAlignment="1">
      <alignment horizontal="center" vertical="center" wrapText="1"/>
    </xf>
    <xf numFmtId="0" fontId="37" fillId="6" borderId="3" xfId="0" applyFont="1" applyFill="1" applyBorder="1" applyAlignment="1">
      <alignment horizontal="center" vertical="center" wrapText="1"/>
    </xf>
    <xf numFmtId="49" fontId="37" fillId="6" borderId="3" xfId="0" applyNumberFormat="1" applyFont="1" applyFill="1" applyBorder="1" applyAlignment="1" applyProtection="1">
      <alignment vertical="top" wrapText="1"/>
      <protection locked="0"/>
    </xf>
    <xf numFmtId="49" fontId="37" fillId="6" borderId="3" xfId="0" applyNumberFormat="1" applyFont="1" applyFill="1" applyBorder="1" applyAlignment="1">
      <alignment vertical="top" wrapText="1"/>
    </xf>
    <xf numFmtId="49" fontId="37" fillId="6" borderId="3" xfId="0" applyNumberFormat="1" applyFont="1" applyFill="1" applyBorder="1" applyAlignment="1" applyProtection="1">
      <alignment horizontal="center" vertical="center"/>
      <protection locked="0"/>
    </xf>
    <xf numFmtId="167" fontId="37" fillId="6" borderId="3" xfId="0" applyNumberFormat="1" applyFont="1" applyFill="1" applyBorder="1" applyAlignment="1">
      <alignment horizontal="center" vertical="center" wrapText="1"/>
    </xf>
    <xf numFmtId="49" fontId="37" fillId="6" borderId="40" xfId="0" applyNumberFormat="1" applyFont="1" applyFill="1" applyBorder="1" applyAlignment="1" applyProtection="1">
      <alignment horizontal="center" vertical="center" wrapText="1"/>
      <protection locked="0"/>
    </xf>
    <xf numFmtId="49" fontId="37" fillId="6" borderId="0" xfId="0" applyNumberFormat="1" applyFont="1" applyFill="1" applyBorder="1" applyAlignment="1">
      <alignment horizontal="center" vertical="center" wrapText="1"/>
    </xf>
    <xf numFmtId="0" fontId="37" fillId="6" borderId="0" xfId="0" applyNumberFormat="1" applyFont="1" applyFill="1" applyBorder="1" applyAlignment="1">
      <alignment horizontal="center" vertical="center" wrapText="1"/>
    </xf>
    <xf numFmtId="0" fontId="37" fillId="6" borderId="0" xfId="0" applyFont="1" applyFill="1" applyBorder="1" applyAlignment="1">
      <alignment horizontal="center" vertical="center" wrapText="1"/>
    </xf>
    <xf numFmtId="49" fontId="37" fillId="6" borderId="0" xfId="0" applyNumberFormat="1" applyFont="1" applyFill="1" applyBorder="1" applyAlignment="1" applyProtection="1">
      <alignment vertical="top" wrapText="1"/>
      <protection locked="0"/>
    </xf>
    <xf numFmtId="49" fontId="37" fillId="6" borderId="0" xfId="0" applyNumberFormat="1" applyFont="1" applyFill="1" applyBorder="1" applyAlignment="1">
      <alignment vertical="top" wrapText="1"/>
    </xf>
    <xf numFmtId="49" fontId="37" fillId="6" borderId="0" xfId="0" applyNumberFormat="1" applyFont="1" applyFill="1" applyBorder="1" applyAlignment="1" applyProtection="1">
      <alignment horizontal="center" vertical="center"/>
      <protection locked="0"/>
    </xf>
    <xf numFmtId="167" fontId="37" fillId="6" borderId="0" xfId="0" applyNumberFormat="1" applyFont="1" applyFill="1" applyBorder="1" applyAlignment="1">
      <alignment horizontal="center" vertical="center" wrapText="1"/>
    </xf>
    <xf numFmtId="49" fontId="37" fillId="6" borderId="27" xfId="0" applyNumberFormat="1" applyFont="1" applyFill="1" applyBorder="1" applyAlignment="1" applyProtection="1">
      <alignment horizontal="center" vertical="center" wrapText="1"/>
      <protection locked="0"/>
    </xf>
    <xf numFmtId="49" fontId="28" fillId="12" borderId="9" xfId="0" applyNumberFormat="1" applyFont="1" applyFill="1" applyBorder="1" applyAlignment="1">
      <alignment vertical="top" wrapText="1"/>
    </xf>
    <xf numFmtId="167" fontId="28" fillId="0" borderId="9" xfId="0" applyNumberFormat="1" applyFont="1" applyFill="1" applyBorder="1" applyAlignment="1" applyProtection="1">
      <alignment horizontal="center" vertical="center" wrapText="1"/>
      <protection locked="0"/>
    </xf>
    <xf numFmtId="49" fontId="28" fillId="0" borderId="9" xfId="0" applyNumberFormat="1" applyFont="1" applyFill="1" applyBorder="1" applyAlignment="1" applyProtection="1">
      <alignment horizontal="left" vertical="center"/>
      <protection locked="0"/>
    </xf>
    <xf numFmtId="167" fontId="28" fillId="0" borderId="9" xfId="0" applyNumberFormat="1" applyFont="1" applyFill="1" applyBorder="1" applyAlignment="1">
      <alignment horizontal="center" vertical="center" wrapText="1"/>
    </xf>
    <xf numFmtId="167" fontId="28" fillId="0" borderId="62" xfId="0" applyNumberFormat="1" applyFont="1" applyFill="1" applyBorder="1" applyAlignment="1">
      <alignment horizontal="center" vertical="center" wrapText="1"/>
    </xf>
    <xf numFmtId="167" fontId="28" fillId="0" borderId="3" xfId="0" applyNumberFormat="1" applyFont="1" applyFill="1" applyBorder="1" applyAlignment="1">
      <alignment horizontal="center" vertical="center" wrapText="1"/>
    </xf>
    <xf numFmtId="168" fontId="28" fillId="13" borderId="9" xfId="0" applyNumberFormat="1" applyFont="1" applyFill="1" applyBorder="1" applyAlignment="1">
      <alignment horizontal="right" vertical="center" wrapText="1"/>
    </xf>
    <xf numFmtId="167" fontId="28" fillId="13" borderId="9" xfId="0" applyNumberFormat="1" applyFont="1" applyFill="1" applyBorder="1" applyAlignment="1">
      <alignment horizontal="center" vertical="center" wrapText="1"/>
    </xf>
    <xf numFmtId="164" fontId="37" fillId="8" borderId="3" xfId="1" applyNumberFormat="1" applyFont="1" applyFill="1" applyBorder="1" applyAlignment="1" applyProtection="1">
      <alignment vertical="center"/>
      <protection locked="0"/>
    </xf>
    <xf numFmtId="49" fontId="37" fillId="8" borderId="3" xfId="0" applyNumberFormat="1" applyFont="1" applyFill="1" applyBorder="1" applyAlignment="1">
      <alignment vertical="top" wrapText="1"/>
    </xf>
    <xf numFmtId="49" fontId="37" fillId="8" borderId="30" xfId="0" applyNumberFormat="1" applyFont="1" applyFill="1" applyBorder="1" applyAlignment="1" applyProtection="1">
      <alignment horizontal="center" vertical="center"/>
      <protection locked="0"/>
    </xf>
    <xf numFmtId="167" fontId="37" fillId="8" borderId="30" xfId="0" applyNumberFormat="1" applyFont="1" applyFill="1" applyBorder="1" applyAlignment="1">
      <alignment horizontal="center" vertical="center" wrapText="1"/>
    </xf>
    <xf numFmtId="49" fontId="37" fillId="8" borderId="30" xfId="0" applyNumberFormat="1" applyFont="1" applyFill="1" applyBorder="1" applyAlignment="1" applyProtection="1">
      <alignment horizontal="center" vertical="center" wrapText="1"/>
      <protection locked="0"/>
    </xf>
    <xf numFmtId="49" fontId="37" fillId="12" borderId="3" xfId="0" applyNumberFormat="1" applyFont="1" applyFill="1" applyBorder="1" applyAlignment="1">
      <alignment vertical="top" wrapText="1"/>
    </xf>
    <xf numFmtId="168" fontId="37" fillId="0" borderId="3" xfId="0" applyNumberFormat="1" applyFont="1" applyFill="1" applyBorder="1" applyAlignment="1">
      <alignment horizontal="center" vertical="center" wrapText="1"/>
    </xf>
    <xf numFmtId="49" fontId="37" fillId="0" borderId="3" xfId="0" applyNumberFormat="1" applyFont="1" applyFill="1" applyBorder="1" applyAlignment="1" applyProtection="1">
      <alignment horizontal="left" vertical="center"/>
      <protection locked="0"/>
    </xf>
    <xf numFmtId="167" fontId="37" fillId="0" borderId="3" xfId="0" applyNumberFormat="1" applyFont="1" applyFill="1" applyBorder="1" applyAlignment="1">
      <alignment horizontal="center" vertical="center" wrapText="1"/>
    </xf>
    <xf numFmtId="167" fontId="37" fillId="0" borderId="3" xfId="0" applyNumberFormat="1" applyFont="1" applyFill="1" applyBorder="1" applyAlignment="1" applyProtection="1">
      <alignment horizontal="center" vertical="center" wrapText="1"/>
      <protection locked="0"/>
    </xf>
    <xf numFmtId="0" fontId="49" fillId="14" borderId="3" xfId="0" applyFont="1" applyFill="1" applyBorder="1"/>
    <xf numFmtId="43" fontId="49" fillId="14" borderId="3" xfId="0" applyNumberFormat="1" applyFont="1" applyFill="1" applyBorder="1"/>
    <xf numFmtId="43" fontId="49" fillId="0" borderId="0" xfId="0" applyNumberFormat="1" applyFont="1"/>
    <xf numFmtId="43" fontId="49" fillId="0" borderId="0" xfId="1" applyFont="1"/>
    <xf numFmtId="49" fontId="37" fillId="10" borderId="27" xfId="0" applyNumberFormat="1" applyFont="1" applyFill="1" applyBorder="1" applyAlignment="1" applyProtection="1">
      <alignment vertical="center"/>
      <protection locked="0"/>
    </xf>
    <xf numFmtId="49" fontId="37" fillId="10" borderId="31" xfId="0" applyNumberFormat="1" applyFont="1" applyFill="1" applyBorder="1" applyAlignment="1" applyProtection="1">
      <alignment vertical="center"/>
      <protection locked="0"/>
    </xf>
    <xf numFmtId="0" fontId="37" fillId="5" borderId="21" xfId="0" applyNumberFormat="1" applyFont="1" applyFill="1" applyBorder="1" applyAlignment="1">
      <alignment horizontal="center" vertical="center" wrapText="1"/>
    </xf>
    <xf numFmtId="49" fontId="37" fillId="5" borderId="28" xfId="0" applyNumberFormat="1" applyFont="1" applyFill="1" applyBorder="1" applyAlignment="1">
      <alignment horizontal="left" vertical="center" wrapText="1"/>
    </xf>
    <xf numFmtId="49" fontId="37" fillId="5" borderId="3" xfId="0" applyNumberFormat="1" applyFont="1" applyFill="1" applyBorder="1" applyAlignment="1">
      <alignment horizontal="center" vertical="center" wrapText="1"/>
    </xf>
    <xf numFmtId="49" fontId="37" fillId="5" borderId="3" xfId="0" applyNumberFormat="1" applyFont="1" applyFill="1" applyBorder="1" applyAlignment="1">
      <alignment horizontal="center" vertical="center" textRotation="85" wrapText="1"/>
    </xf>
    <xf numFmtId="4" fontId="37" fillId="5" borderId="3" xfId="0" applyNumberFormat="1" applyFont="1" applyFill="1" applyBorder="1" applyAlignment="1">
      <alignment horizontal="center" vertical="center" wrapText="1"/>
    </xf>
    <xf numFmtId="49" fontId="37" fillId="5" borderId="40" xfId="0" applyNumberFormat="1" applyFont="1" applyFill="1" applyBorder="1" applyAlignment="1">
      <alignment horizontal="center" vertical="center" wrapText="1"/>
    </xf>
    <xf numFmtId="0" fontId="37" fillId="6" borderId="21" xfId="0" applyNumberFormat="1" applyFont="1" applyFill="1" applyBorder="1" applyAlignment="1">
      <alignment horizontal="center" vertical="center" wrapText="1"/>
    </xf>
    <xf numFmtId="49" fontId="37" fillId="6" borderId="28" xfId="0" applyNumberFormat="1" applyFont="1" applyFill="1" applyBorder="1" applyAlignment="1" applyProtection="1">
      <alignment vertical="center" wrapText="1"/>
      <protection locked="0"/>
    </xf>
    <xf numFmtId="4" fontId="37" fillId="6" borderId="3" xfId="0" applyNumberFormat="1" applyFont="1" applyFill="1" applyBorder="1" applyAlignment="1">
      <alignment horizontal="center" vertical="center" wrapText="1"/>
    </xf>
    <xf numFmtId="4" fontId="37" fillId="6" borderId="3" xfId="0" applyNumberFormat="1" applyFont="1" applyFill="1" applyBorder="1" applyAlignment="1">
      <alignment horizontal="center" vertical="center"/>
    </xf>
    <xf numFmtId="4" fontId="37" fillId="6" borderId="3" xfId="2" applyNumberFormat="1" applyFont="1" applyFill="1" applyBorder="1" applyAlignment="1">
      <alignment horizontal="center" vertical="center" wrapText="1"/>
    </xf>
    <xf numFmtId="0" fontId="37" fillId="6" borderId="107" xfId="0" applyNumberFormat="1" applyFont="1" applyFill="1" applyBorder="1" applyAlignment="1">
      <alignment horizontal="center" vertical="center" wrapText="1"/>
    </xf>
    <xf numFmtId="49" fontId="37" fillId="6" borderId="0" xfId="0" applyNumberFormat="1" applyFont="1" applyFill="1" applyBorder="1" applyAlignment="1" applyProtection="1">
      <alignment vertical="center" wrapText="1"/>
      <protection locked="0"/>
    </xf>
    <xf numFmtId="4" fontId="37" fillId="6" borderId="0" xfId="0" applyNumberFormat="1" applyFont="1" applyFill="1" applyBorder="1" applyAlignment="1">
      <alignment horizontal="center" vertical="center" wrapText="1"/>
    </xf>
    <xf numFmtId="4" fontId="37" fillId="6" borderId="0" xfId="0" applyNumberFormat="1" applyFont="1" applyFill="1" applyBorder="1" applyAlignment="1">
      <alignment horizontal="center" vertical="center"/>
    </xf>
    <xf numFmtId="4" fontId="37" fillId="6" borderId="0" xfId="2" applyNumberFormat="1" applyFont="1" applyFill="1" applyBorder="1" applyAlignment="1">
      <alignment horizontal="center" vertical="center" wrapText="1"/>
    </xf>
    <xf numFmtId="168" fontId="88" fillId="0" borderId="3" xfId="0" applyNumberFormat="1" applyFont="1" applyFill="1" applyBorder="1" applyAlignment="1">
      <alignment horizontal="center" vertical="center" wrapText="1"/>
    </xf>
    <xf numFmtId="164" fontId="37" fillId="5" borderId="3" xfId="1" applyNumberFormat="1" applyFont="1" applyFill="1" applyBorder="1" applyAlignment="1" applyProtection="1">
      <alignment horizontal="center" vertical="center"/>
      <protection locked="0"/>
    </xf>
    <xf numFmtId="43" fontId="37" fillId="5" borderId="3" xfId="1" applyFont="1" applyFill="1" applyBorder="1" applyAlignment="1" applyProtection="1">
      <alignment horizontal="left" vertical="center"/>
      <protection locked="0"/>
    </xf>
    <xf numFmtId="43" fontId="37" fillId="5" borderId="3" xfId="1" applyFont="1" applyFill="1" applyBorder="1" applyAlignment="1" applyProtection="1">
      <alignment horizontal="center" vertical="center"/>
      <protection locked="0"/>
    </xf>
    <xf numFmtId="1" fontId="37" fillId="5" borderId="3" xfId="1" applyNumberFormat="1" applyFont="1" applyFill="1" applyBorder="1" applyAlignment="1" applyProtection="1">
      <alignment horizontal="center" vertical="center"/>
      <protection locked="0"/>
    </xf>
    <xf numFmtId="43" fontId="3" fillId="5" borderId="3" xfId="0" applyNumberFormat="1" applyFont="1" applyFill="1" applyBorder="1" applyAlignment="1">
      <alignment horizontal="center" vertical="center" wrapText="1"/>
    </xf>
    <xf numFmtId="0" fontId="37" fillId="5" borderId="25" xfId="0" applyFont="1" applyFill="1" applyBorder="1" applyAlignment="1">
      <alignment horizontal="center" vertical="center" wrapText="1"/>
    </xf>
    <xf numFmtId="49" fontId="37" fillId="5" borderId="3" xfId="0" applyNumberFormat="1" applyFont="1" applyFill="1" applyBorder="1" applyAlignment="1">
      <alignment vertical="top" wrapText="1"/>
    </xf>
    <xf numFmtId="168" fontId="37" fillId="5" borderId="3" xfId="0" applyNumberFormat="1" applyFont="1" applyFill="1" applyBorder="1" applyAlignment="1">
      <alignment horizontal="center" vertical="center" wrapText="1"/>
    </xf>
    <xf numFmtId="49" fontId="37" fillId="5" borderId="3" xfId="0" applyNumberFormat="1" applyFont="1" applyFill="1" applyBorder="1" applyAlignment="1" applyProtection="1">
      <alignment horizontal="left" vertical="center"/>
      <protection locked="0"/>
    </xf>
    <xf numFmtId="167" fontId="37" fillId="5" borderId="3" xfId="0" applyNumberFormat="1" applyFont="1" applyFill="1" applyBorder="1" applyAlignment="1">
      <alignment horizontal="center" vertical="center" wrapText="1"/>
    </xf>
    <xf numFmtId="0" fontId="13" fillId="13" borderId="45" xfId="0" applyFont="1" applyFill="1" applyBorder="1" applyAlignment="1">
      <alignment horizontal="left" vertical="top" wrapText="1"/>
    </xf>
    <xf numFmtId="0" fontId="13" fillId="13" borderId="57" xfId="0" applyFont="1" applyFill="1" applyBorder="1" applyAlignment="1">
      <alignment horizontal="left"/>
    </xf>
    <xf numFmtId="43" fontId="13" fillId="13" borderId="53" xfId="1" applyFont="1" applyFill="1" applyBorder="1" applyAlignment="1">
      <alignment horizontal="left" vertical="top" wrapText="1"/>
    </xf>
    <xf numFmtId="43" fontId="6" fillId="0" borderId="53" xfId="1" applyFont="1" applyBorder="1" applyAlignment="1">
      <alignment horizontal="justify"/>
    </xf>
    <xf numFmtId="43" fontId="6" fillId="16" borderId="53" xfId="1" applyFont="1" applyFill="1" applyBorder="1" applyAlignment="1">
      <alignment horizontal="justify"/>
    </xf>
    <xf numFmtId="43" fontId="6" fillId="27" borderId="53" xfId="1" applyFont="1" applyFill="1" applyBorder="1" applyAlignment="1">
      <alignment horizontal="justify"/>
    </xf>
    <xf numFmtId="43" fontId="6" fillId="0" borderId="53" xfId="0" applyNumberFormat="1" applyFont="1" applyBorder="1" applyAlignment="1">
      <alignment horizontal="justify"/>
    </xf>
    <xf numFmtId="0" fontId="6" fillId="0" borderId="3" xfId="0" applyFont="1" applyBorder="1" applyAlignment="1">
      <alignment horizontal="left" vertical="top" wrapText="1"/>
    </xf>
    <xf numFmtId="0" fontId="6" fillId="0" borderId="3" xfId="0" applyFont="1" applyBorder="1" applyAlignment="1">
      <alignment horizontal="justify" vertical="center"/>
    </xf>
    <xf numFmtId="164" fontId="37" fillId="8" borderId="3" xfId="1" applyNumberFormat="1" applyFont="1" applyFill="1" applyBorder="1" applyAlignment="1" applyProtection="1">
      <alignment horizontal="center" vertical="center"/>
      <protection locked="0"/>
    </xf>
    <xf numFmtId="1" fontId="37" fillId="8" borderId="3" xfId="1" applyNumberFormat="1" applyFont="1" applyFill="1" applyBorder="1" applyAlignment="1" applyProtection="1">
      <alignment horizontal="center" vertical="center"/>
      <protection locked="0"/>
    </xf>
    <xf numFmtId="0" fontId="3" fillId="8" borderId="3" xfId="0" applyFont="1" applyFill="1" applyBorder="1" applyAlignment="1">
      <alignment horizontal="center" vertical="center" wrapText="1"/>
    </xf>
    <xf numFmtId="43" fontId="37" fillId="8" borderId="3" xfId="1" applyFont="1" applyFill="1" applyBorder="1" applyAlignment="1" applyProtection="1">
      <alignment horizontal="center" vertical="center"/>
      <protection locked="0"/>
    </xf>
    <xf numFmtId="0" fontId="37" fillId="8" borderId="25" xfId="0" applyFont="1" applyFill="1" applyBorder="1" applyAlignment="1">
      <alignment horizontal="center" vertical="center" wrapText="1"/>
    </xf>
    <xf numFmtId="168" fontId="37" fillId="8" borderId="3" xfId="0" applyNumberFormat="1" applyFont="1" applyFill="1" applyBorder="1" applyAlignment="1">
      <alignment horizontal="center" vertical="center" wrapText="1"/>
    </xf>
    <xf numFmtId="49" fontId="37" fillId="8" borderId="3" xfId="0" applyNumberFormat="1" applyFont="1" applyFill="1" applyBorder="1" applyAlignment="1" applyProtection="1">
      <alignment horizontal="left" vertical="center"/>
      <protection locked="0"/>
    </xf>
    <xf numFmtId="167" fontId="37" fillId="8" borderId="3" xfId="0" applyNumberFormat="1" applyFont="1" applyFill="1" applyBorder="1" applyAlignment="1">
      <alignment horizontal="center" vertical="center" wrapText="1"/>
    </xf>
    <xf numFmtId="0" fontId="49" fillId="8" borderId="0" xfId="0" applyFont="1" applyFill="1"/>
    <xf numFmtId="0" fontId="37" fillId="8" borderId="47" xfId="0" applyNumberFormat="1" applyFont="1" applyFill="1" applyBorder="1" applyAlignment="1">
      <alignment horizontal="center" vertical="center" wrapText="1"/>
    </xf>
    <xf numFmtId="2" fontId="37" fillId="8" borderId="5" xfId="0" applyNumberFormat="1" applyFont="1" applyFill="1" applyBorder="1" applyAlignment="1">
      <alignment horizontal="center" vertical="center" wrapText="1"/>
    </xf>
    <xf numFmtId="0" fontId="37" fillId="8" borderId="5" xfId="0" applyNumberFormat="1" applyFont="1" applyFill="1" applyBorder="1" applyAlignment="1">
      <alignment horizontal="center" vertical="center" wrapText="1"/>
    </xf>
    <xf numFmtId="0" fontId="3" fillId="8" borderId="0" xfId="0" applyFont="1" applyFill="1" applyBorder="1" applyAlignment="1">
      <alignment horizontal="center" vertical="top" wrapText="1"/>
    </xf>
    <xf numFmtId="49" fontId="37" fillId="8" borderId="5" xfId="0" applyNumberFormat="1" applyFont="1" applyFill="1" applyBorder="1" applyAlignment="1">
      <alignment horizontal="center" vertical="center" wrapText="1"/>
    </xf>
    <xf numFmtId="43" fontId="37" fillId="8" borderId="5" xfId="1" applyFont="1" applyFill="1" applyBorder="1" applyAlignment="1">
      <alignment horizontal="center" vertical="center" wrapText="1"/>
    </xf>
    <xf numFmtId="0" fontId="37" fillId="8" borderId="5" xfId="0" applyFont="1" applyFill="1" applyBorder="1" applyAlignment="1">
      <alignment horizontal="center" vertical="center" wrapText="1"/>
    </xf>
    <xf numFmtId="43" fontId="37" fillId="8" borderId="3" xfId="1" applyFont="1" applyFill="1" applyBorder="1" applyAlignment="1" applyProtection="1">
      <alignment vertical="center"/>
      <protection locked="0"/>
    </xf>
    <xf numFmtId="14" fontId="16" fillId="0" borderId="3" xfId="0" applyNumberFormat="1" applyFont="1" applyBorder="1" applyAlignment="1">
      <alignment horizontal="center"/>
    </xf>
    <xf numFmtId="14" fontId="9" fillId="0" borderId="5" xfId="1" applyNumberFormat="1" applyFont="1" applyFill="1" applyBorder="1" applyAlignment="1">
      <alignment vertical="center"/>
    </xf>
    <xf numFmtId="0" fontId="0" fillId="0" borderId="0" xfId="0"/>
    <xf numFmtId="43" fontId="6" fillId="7" borderId="53" xfId="1" applyFont="1" applyFill="1" applyBorder="1" applyAlignment="1">
      <alignment horizontal="center" vertical="center" wrapText="1"/>
    </xf>
    <xf numFmtId="43" fontId="2" fillId="0" borderId="0" xfId="0" applyNumberFormat="1" applyFont="1"/>
    <xf numFmtId="43" fontId="28" fillId="0" borderId="3" xfId="1" applyFont="1" applyBorder="1"/>
    <xf numFmtId="4" fontId="35" fillId="0" borderId="3" xfId="0" applyNumberFormat="1" applyFont="1" applyBorder="1"/>
    <xf numFmtId="10" fontId="35" fillId="0" borderId="3" xfId="1" applyNumberFormat="1" applyFont="1" applyBorder="1" applyAlignment="1">
      <alignment horizontal="right" wrapText="1"/>
    </xf>
    <xf numFmtId="10" fontId="35" fillId="0" borderId="3" xfId="5" applyNumberFormat="1" applyFont="1" applyBorder="1" applyAlignment="1">
      <alignment horizontal="right" wrapText="1"/>
    </xf>
    <xf numFmtId="49" fontId="18" fillId="38" borderId="38" xfId="0" applyNumberFormat="1" applyFont="1" applyFill="1" applyBorder="1" applyAlignment="1">
      <alignment vertical="top" wrapText="1"/>
    </xf>
    <xf numFmtId="49" fontId="18" fillId="38" borderId="3" xfId="0" applyNumberFormat="1" applyFont="1" applyFill="1" applyBorder="1" applyAlignment="1">
      <alignment horizontal="center" vertical="center" wrapText="1"/>
    </xf>
    <xf numFmtId="43" fontId="18" fillId="38" borderId="3" xfId="1" applyFont="1" applyFill="1" applyBorder="1" applyAlignment="1">
      <alignment horizontal="center" vertical="center" wrapText="1"/>
    </xf>
    <xf numFmtId="49" fontId="18" fillId="38" borderId="3" xfId="0" applyNumberFormat="1" applyFont="1" applyFill="1" applyBorder="1" applyAlignment="1">
      <alignment horizontal="center" wrapText="1"/>
    </xf>
    <xf numFmtId="49" fontId="18" fillId="38" borderId="27" xfId="0" applyNumberFormat="1" applyFont="1" applyFill="1" applyBorder="1" applyAlignment="1">
      <alignment horizontal="center" vertical="center" wrapText="1"/>
    </xf>
    <xf numFmtId="49" fontId="81" fillId="38" borderId="7" xfId="0" applyNumberFormat="1" applyFont="1" applyFill="1" applyBorder="1" applyAlignment="1">
      <alignment vertical="top" wrapText="1"/>
    </xf>
    <xf numFmtId="49" fontId="81" fillId="38" borderId="7" xfId="0" applyNumberFormat="1" applyFont="1" applyFill="1" applyBorder="1" applyAlignment="1">
      <alignment horizontal="center" vertical="center"/>
    </xf>
    <xf numFmtId="49" fontId="81" fillId="38" borderId="65" xfId="0" applyNumberFormat="1" applyFont="1" applyFill="1" applyBorder="1" applyAlignment="1">
      <alignment horizontal="center" vertical="center"/>
    </xf>
    <xf numFmtId="49" fontId="48" fillId="38" borderId="9" xfId="0" applyNumberFormat="1" applyFont="1" applyFill="1" applyBorder="1" applyAlignment="1">
      <alignment horizontal="center" vertical="center" wrapText="1"/>
    </xf>
    <xf numFmtId="43" fontId="48" fillId="38" borderId="9" xfId="1" applyFont="1" applyFill="1" applyBorder="1" applyAlignment="1">
      <alignment horizontal="center" vertical="center" wrapText="1"/>
    </xf>
    <xf numFmtId="49" fontId="48" fillId="38" borderId="62" xfId="0" applyNumberFormat="1" applyFont="1" applyFill="1" applyBorder="1" applyAlignment="1">
      <alignment horizontal="center" vertical="center" wrapText="1"/>
    </xf>
    <xf numFmtId="49" fontId="48" fillId="38" borderId="3" xfId="0" applyNumberFormat="1" applyFont="1" applyFill="1" applyBorder="1" applyAlignment="1">
      <alignment horizontal="center" vertical="center" wrapText="1"/>
    </xf>
    <xf numFmtId="43" fontId="48" fillId="38" borderId="3" xfId="1" applyFont="1" applyFill="1" applyBorder="1" applyAlignment="1">
      <alignment horizontal="center" vertical="center" wrapText="1"/>
    </xf>
    <xf numFmtId="43" fontId="18" fillId="38" borderId="9" xfId="1" applyFont="1" applyFill="1" applyBorder="1" applyAlignment="1">
      <alignment horizontal="center" wrapText="1"/>
    </xf>
    <xf numFmtId="0" fontId="35" fillId="8" borderId="48" xfId="0" applyFont="1" applyFill="1" applyBorder="1" applyAlignment="1">
      <alignment horizontal="left" vertical="top" wrapText="1"/>
    </xf>
    <xf numFmtId="0" fontId="35" fillId="8" borderId="17" xfId="0" applyFont="1" applyFill="1" applyBorder="1" applyAlignment="1">
      <alignment horizontal="left" vertical="top" wrapText="1"/>
    </xf>
    <xf numFmtId="0" fontId="35" fillId="8" borderId="3" xfId="0" applyFont="1" applyFill="1" applyBorder="1" applyAlignment="1">
      <alignment horizontal="left" vertical="top" wrapText="1"/>
    </xf>
    <xf numFmtId="0" fontId="35" fillId="8" borderId="53" xfId="0" applyFont="1" applyFill="1" applyBorder="1" applyAlignment="1">
      <alignment horizontal="left" vertical="top" wrapText="1"/>
    </xf>
    <xf numFmtId="43" fontId="35" fillId="8" borderId="53" xfId="0" applyNumberFormat="1" applyFont="1" applyFill="1" applyBorder="1" applyAlignment="1">
      <alignment horizontal="left" vertical="top" wrapText="1"/>
    </xf>
    <xf numFmtId="43" fontId="35" fillId="8" borderId="58" xfId="0" applyNumberFormat="1" applyFont="1" applyFill="1" applyBorder="1" applyAlignment="1">
      <alignment horizontal="left" vertical="top" wrapText="1"/>
    </xf>
    <xf numFmtId="43" fontId="35" fillId="8" borderId="5" xfId="0" applyNumberFormat="1" applyFont="1" applyFill="1" applyBorder="1" applyAlignment="1">
      <alignment horizontal="left" vertical="top" wrapText="1"/>
    </xf>
    <xf numFmtId="0" fontId="33" fillId="8" borderId="0" xfId="0" applyFont="1" applyFill="1"/>
    <xf numFmtId="0" fontId="35" fillId="8" borderId="27" xfId="0" applyFont="1" applyFill="1" applyBorder="1" applyAlignment="1">
      <alignment horizontal="left" vertical="top" wrapText="1"/>
    </xf>
    <xf numFmtId="0" fontId="35" fillId="8" borderId="28" xfId="0" applyFont="1" applyFill="1" applyBorder="1" applyAlignment="1">
      <alignment horizontal="left" vertical="top" wrapText="1"/>
    </xf>
    <xf numFmtId="43" fontId="35" fillId="8" borderId="3" xfId="0" applyNumberFormat="1" applyFont="1" applyFill="1" applyBorder="1" applyAlignment="1">
      <alignment horizontal="left" vertical="top" wrapText="1"/>
    </xf>
    <xf numFmtId="4" fontId="35" fillId="8" borderId="53" xfId="0" applyNumberFormat="1" applyFont="1" applyFill="1" applyBorder="1" applyAlignment="1">
      <alignment horizontal="left" vertical="top" wrapText="1"/>
    </xf>
    <xf numFmtId="43" fontId="35" fillId="8" borderId="5" xfId="0" applyNumberFormat="1" applyFont="1" applyFill="1" applyBorder="1" applyAlignment="1">
      <alignment vertical="top" wrapText="1"/>
    </xf>
    <xf numFmtId="0" fontId="43" fillId="8" borderId="3" xfId="0" applyFont="1" applyFill="1" applyBorder="1" applyAlignment="1">
      <alignment horizontal="left" vertical="top"/>
    </xf>
    <xf numFmtId="0" fontId="0" fillId="8" borderId="3" xfId="0" applyFill="1" applyBorder="1"/>
    <xf numFmtId="0" fontId="43" fillId="8" borderId="53" xfId="0" applyFont="1" applyFill="1" applyBorder="1" applyAlignment="1">
      <alignment horizontal="center"/>
    </xf>
    <xf numFmtId="165" fontId="43" fillId="8" borderId="53" xfId="1" applyNumberFormat="1" applyFont="1" applyFill="1" applyBorder="1" applyAlignment="1">
      <alignment horizontal="center"/>
    </xf>
    <xf numFmtId="43" fontId="43" fillId="8" borderId="53" xfId="0" applyNumberFormat="1" applyFont="1" applyFill="1" applyBorder="1" applyAlignment="1">
      <alignment horizontal="left" wrapText="1"/>
    </xf>
    <xf numFmtId="0" fontId="43" fillId="8" borderId="53" xfId="0" applyFont="1" applyFill="1" applyBorder="1" applyAlignment="1">
      <alignment horizontal="left" wrapText="1"/>
    </xf>
    <xf numFmtId="49" fontId="30" fillId="0" borderId="48" xfId="0" applyNumberFormat="1" applyFont="1" applyBorder="1" applyAlignment="1">
      <alignment horizontal="left" vertical="top" wrapText="1"/>
    </xf>
    <xf numFmtId="49" fontId="30" fillId="0" borderId="45" xfId="0" applyNumberFormat="1" applyFont="1" applyBorder="1" applyAlignment="1">
      <alignment horizontal="left" vertical="top" wrapText="1"/>
    </xf>
    <xf numFmtId="0" fontId="0" fillId="0" borderId="0" xfId="0"/>
    <xf numFmtId="0" fontId="0" fillId="0" borderId="0" xfId="0" applyAlignment="1"/>
    <xf numFmtId="0" fontId="0" fillId="0" borderId="3" xfId="0" applyBorder="1" applyAlignment="1"/>
    <xf numFmtId="0" fontId="93" fillId="39" borderId="3" xfId="0" applyFont="1" applyFill="1" applyBorder="1" applyAlignment="1">
      <alignment horizontal="center"/>
    </xf>
    <xf numFmtId="0" fontId="94" fillId="39" borderId="3" xfId="0" applyFont="1" applyFill="1" applyBorder="1" applyAlignment="1">
      <alignment horizontal="center"/>
    </xf>
    <xf numFmtId="0" fontId="13" fillId="40" borderId="3" xfId="0" applyFont="1" applyFill="1" applyBorder="1" applyAlignment="1">
      <alignment horizontal="center"/>
    </xf>
    <xf numFmtId="0" fontId="95" fillId="40" borderId="3" xfId="0" applyFont="1" applyFill="1" applyBorder="1" applyAlignment="1">
      <alignment horizontal="justify"/>
    </xf>
    <xf numFmtId="0" fontId="96" fillId="40" borderId="3" xfId="0" applyFont="1" applyFill="1" applyBorder="1" applyAlignment="1">
      <alignment horizontal="justify"/>
    </xf>
    <xf numFmtId="0" fontId="30" fillId="0" borderId="27" xfId="0" applyFont="1" applyBorder="1" applyAlignment="1">
      <alignment horizontal="center"/>
    </xf>
    <xf numFmtId="0" fontId="5" fillId="7" borderId="3" xfId="0" applyFont="1" applyFill="1" applyBorder="1" applyAlignment="1">
      <alignment horizontal="center"/>
    </xf>
    <xf numFmtId="0" fontId="5" fillId="7" borderId="3" xfId="0" applyFont="1" applyFill="1" applyBorder="1" applyAlignment="1">
      <alignment horizontal="justify"/>
    </xf>
    <xf numFmtId="4" fontId="51" fillId="7" borderId="3" xfId="0" applyNumberFormat="1" applyFont="1" applyFill="1" applyBorder="1" applyAlignment="1">
      <alignment horizontal="center" wrapText="1"/>
    </xf>
    <xf numFmtId="0" fontId="76" fillId="39" borderId="3" xfId="0" applyFont="1" applyFill="1" applyBorder="1" applyAlignment="1">
      <alignment horizontal="center"/>
    </xf>
    <xf numFmtId="0" fontId="93" fillId="39" borderId="3" xfId="0" applyFont="1" applyFill="1" applyBorder="1" applyAlignment="1">
      <alignment horizontal="justify"/>
    </xf>
    <xf numFmtId="4" fontId="51" fillId="39" borderId="3" xfId="0" applyNumberFormat="1" applyFont="1" applyFill="1" applyBorder="1" applyAlignment="1">
      <alignment horizontal="center"/>
    </xf>
    <xf numFmtId="4" fontId="0" fillId="0" borderId="3" xfId="0" applyNumberFormat="1" applyBorder="1"/>
    <xf numFmtId="0" fontId="5" fillId="20" borderId="3" xfId="0" applyFont="1" applyFill="1" applyBorder="1" applyAlignment="1">
      <alignment horizontal="center"/>
    </xf>
    <xf numFmtId="0" fontId="5" fillId="20" borderId="3" xfId="0" applyFont="1" applyFill="1" applyBorder="1" applyAlignment="1">
      <alignment horizontal="justify"/>
    </xf>
    <xf numFmtId="0" fontId="0" fillId="20" borderId="3" xfId="0" applyFill="1" applyBorder="1" applyAlignment="1">
      <alignment vertical="top" wrapText="1"/>
    </xf>
    <xf numFmtId="0" fontId="0" fillId="20" borderId="3" xfId="0" applyFill="1" applyBorder="1" applyAlignment="1">
      <alignment vertical="top"/>
    </xf>
    <xf numFmtId="43" fontId="51" fillId="7" borderId="3" xfId="1" applyFont="1" applyFill="1" applyBorder="1" applyAlignment="1">
      <alignment horizontal="center" wrapText="1"/>
    </xf>
    <xf numFmtId="0" fontId="3" fillId="20" borderId="3" xfId="0" applyFont="1" applyFill="1" applyBorder="1" applyAlignment="1">
      <alignment horizontal="center"/>
    </xf>
    <xf numFmtId="4" fontId="51" fillId="20" borderId="3" xfId="0" applyNumberFormat="1" applyFont="1" applyFill="1" applyBorder="1" applyAlignment="1">
      <alignment horizontal="center" wrapText="1"/>
    </xf>
    <xf numFmtId="0" fontId="3" fillId="39" borderId="3" xfId="0" applyFont="1" applyFill="1" applyBorder="1" applyAlignment="1">
      <alignment horizontal="center"/>
    </xf>
    <xf numFmtId="4" fontId="7" fillId="39" borderId="3" xfId="0" applyNumberFormat="1" applyFont="1" applyFill="1" applyBorder="1" applyAlignment="1">
      <alignment horizontal="center" wrapText="1"/>
    </xf>
    <xf numFmtId="0" fontId="3" fillId="53" borderId="3" xfId="0" applyFont="1" applyFill="1" applyBorder="1" applyAlignment="1">
      <alignment horizontal="center"/>
    </xf>
    <xf numFmtId="0" fontId="3" fillId="53" borderId="3" xfId="0" applyFont="1" applyFill="1" applyBorder="1" applyAlignment="1">
      <alignment horizontal="justify"/>
    </xf>
    <xf numFmtId="0" fontId="0" fillId="53" borderId="3" xfId="0" applyFill="1" applyBorder="1" applyAlignment="1">
      <alignment wrapText="1"/>
    </xf>
    <xf numFmtId="0" fontId="97" fillId="41" borderId="3" xfId="0" applyFont="1" applyFill="1" applyBorder="1" applyAlignment="1">
      <alignment horizontal="center"/>
    </xf>
    <xf numFmtId="0" fontId="97" fillId="41" borderId="3" xfId="0" applyFont="1" applyFill="1" applyBorder="1" applyAlignment="1">
      <alignment horizontal="justify"/>
    </xf>
    <xf numFmtId="4" fontId="98" fillId="41" borderId="3" xfId="0" applyNumberFormat="1" applyFont="1" applyFill="1" applyBorder="1" applyAlignment="1">
      <alignment horizontal="center" wrapText="1"/>
    </xf>
    <xf numFmtId="0" fontId="76" fillId="20" borderId="3" xfId="0" applyFont="1" applyFill="1" applyBorder="1" applyAlignment="1">
      <alignment horizontal="center"/>
    </xf>
    <xf numFmtId="0" fontId="76" fillId="5" borderId="3" xfId="0" applyFont="1" applyFill="1" applyBorder="1" applyAlignment="1">
      <alignment horizontal="center"/>
    </xf>
    <xf numFmtId="0" fontId="5" fillId="5" borderId="3" xfId="0" applyFont="1" applyFill="1" applyBorder="1" applyAlignment="1">
      <alignment horizontal="justify"/>
    </xf>
    <xf numFmtId="4" fontId="51" fillId="5" borderId="3" xfId="0" applyNumberFormat="1" applyFont="1" applyFill="1" applyBorder="1" applyAlignment="1">
      <alignment horizontal="center" wrapText="1"/>
    </xf>
    <xf numFmtId="0" fontId="76" fillId="7" borderId="3" xfId="0" applyFont="1" applyFill="1" applyBorder="1" applyAlignment="1">
      <alignment horizontal="center"/>
    </xf>
    <xf numFmtId="4" fontId="43" fillId="7" borderId="3" xfId="0" applyNumberFormat="1" applyFont="1" applyFill="1" applyBorder="1" applyAlignment="1">
      <alignment horizontal="center" wrapText="1"/>
    </xf>
    <xf numFmtId="4" fontId="51" fillId="0" borderId="3" xfId="0" applyNumberFormat="1" applyFont="1" applyBorder="1" applyAlignment="1">
      <alignment horizontal="center" wrapText="1"/>
    </xf>
    <xf numFmtId="0" fontId="5" fillId="0" borderId="3" xfId="0" applyFont="1" applyBorder="1" applyAlignment="1">
      <alignment horizontal="justify"/>
    </xf>
    <xf numFmtId="43" fontId="51" fillId="0" borderId="3" xfId="1" applyFont="1" applyBorder="1" applyAlignment="1">
      <alignment horizontal="center" wrapText="1"/>
    </xf>
    <xf numFmtId="4" fontId="99" fillId="42" borderId="3" xfId="0" applyNumberFormat="1" applyFont="1" applyFill="1" applyBorder="1" applyAlignment="1">
      <alignment horizontal="center" wrapText="1"/>
    </xf>
    <xf numFmtId="0" fontId="3" fillId="0" borderId="3" xfId="0" applyFont="1" applyBorder="1" applyAlignment="1">
      <alignment horizontal="justify"/>
    </xf>
    <xf numFmtId="0" fontId="3" fillId="43" borderId="3" xfId="0" applyFont="1" applyFill="1" applyBorder="1" applyAlignment="1">
      <alignment horizontal="center"/>
    </xf>
    <xf numFmtId="0" fontId="3" fillId="43" borderId="3" xfId="0" applyFont="1" applyFill="1" applyBorder="1" applyAlignment="1">
      <alignment horizontal="justify"/>
    </xf>
    <xf numFmtId="0" fontId="0" fillId="43" borderId="3" xfId="0" applyFill="1" applyBorder="1" applyAlignment="1">
      <alignment wrapText="1"/>
    </xf>
    <xf numFmtId="0" fontId="11" fillId="7" borderId="3" xfId="0" applyFont="1" applyFill="1" applyBorder="1" applyAlignment="1">
      <alignment horizontal="justify"/>
    </xf>
    <xf numFmtId="43" fontId="90" fillId="7" borderId="3" xfId="1" applyFont="1" applyFill="1" applyBorder="1" applyAlignment="1">
      <alignment horizontal="center" vertical="top" wrapText="1"/>
    </xf>
    <xf numFmtId="0" fontId="3" fillId="20" borderId="3" xfId="0" applyFont="1" applyFill="1" applyBorder="1" applyAlignment="1">
      <alignment horizontal="justify"/>
    </xf>
    <xf numFmtId="0" fontId="56" fillId="45" borderId="109" xfId="8" applyBorder="1" applyAlignment="1"/>
    <xf numFmtId="0" fontId="56" fillId="45" borderId="3" xfId="8" applyBorder="1" applyAlignment="1"/>
    <xf numFmtId="0" fontId="56" fillId="45" borderId="3" xfId="8" applyBorder="1" applyAlignment="1">
      <alignment vertical="top" wrapText="1"/>
    </xf>
    <xf numFmtId="0" fontId="1" fillId="50" borderId="3" xfId="13" applyBorder="1" applyAlignment="1">
      <alignment horizontal="center"/>
    </xf>
    <xf numFmtId="0" fontId="1" fillId="50" borderId="3" xfId="13" applyBorder="1" applyAlignment="1"/>
    <xf numFmtId="4" fontId="89" fillId="50" borderId="3" xfId="13" applyNumberFormat="1" applyFont="1" applyBorder="1" applyAlignment="1">
      <alignment horizontal="center" vertical="top" wrapText="1"/>
    </xf>
    <xf numFmtId="0" fontId="1" fillId="51" borderId="27" xfId="14" applyBorder="1" applyAlignment="1">
      <alignment horizontal="center"/>
    </xf>
    <xf numFmtId="0" fontId="1" fillId="51" borderId="3" xfId="14" applyBorder="1" applyAlignment="1">
      <alignment horizontal="center"/>
    </xf>
    <xf numFmtId="0" fontId="1" fillId="51" borderId="3" xfId="14" applyBorder="1" applyAlignment="1"/>
    <xf numFmtId="4" fontId="89" fillId="51" borderId="3" xfId="14" applyNumberFormat="1" applyFont="1" applyBorder="1" applyAlignment="1">
      <alignment horizontal="center" vertical="top" wrapText="1"/>
    </xf>
    <xf numFmtId="4" fontId="57" fillId="52" borderId="3" xfId="15" applyNumberFormat="1" applyBorder="1" applyAlignment="1">
      <alignment horizontal="center" vertical="top" wrapText="1"/>
    </xf>
    <xf numFmtId="0" fontId="57" fillId="52" borderId="3" xfId="15" applyBorder="1"/>
    <xf numFmtId="0" fontId="57" fillId="49" borderId="27" xfId="12" applyBorder="1" applyAlignment="1">
      <alignment horizontal="center"/>
    </xf>
    <xf numFmtId="0" fontId="57" fillId="49" borderId="3" xfId="12" applyBorder="1" applyAlignment="1">
      <alignment horizontal="center"/>
    </xf>
    <xf numFmtId="0" fontId="57" fillId="49" borderId="3" xfId="12" applyBorder="1" applyAlignment="1"/>
    <xf numFmtId="4" fontId="100" fillId="49" borderId="3" xfId="12" applyNumberFormat="1" applyFont="1" applyBorder="1" applyAlignment="1">
      <alignment horizontal="center" wrapText="1"/>
    </xf>
    <xf numFmtId="0" fontId="5" fillId="0" borderId="3" xfId="0" applyFont="1" applyBorder="1" applyAlignment="1">
      <alignment horizontal="center"/>
    </xf>
    <xf numFmtId="0" fontId="5" fillId="0" borderId="3" xfId="0" applyFont="1" applyBorder="1" applyAlignment="1"/>
    <xf numFmtId="4" fontId="90" fillId="7" borderId="3" xfId="0" applyNumberFormat="1" applyFont="1" applyFill="1" applyBorder="1" applyAlignment="1">
      <alignment horizontal="center" vertical="top" wrapText="1"/>
    </xf>
    <xf numFmtId="4" fontId="90" fillId="0" borderId="3" xfId="0" applyNumberFormat="1" applyFont="1" applyBorder="1" applyAlignment="1">
      <alignment horizontal="center" wrapText="1"/>
    </xf>
    <xf numFmtId="43" fontId="0" fillId="7" borderId="3" xfId="1" applyFont="1" applyFill="1" applyBorder="1" applyAlignment="1">
      <alignment vertical="top" wrapText="1"/>
    </xf>
    <xf numFmtId="0" fontId="1" fillId="46" borderId="27" xfId="9" applyBorder="1" applyAlignment="1">
      <alignment horizontal="center"/>
    </xf>
    <xf numFmtId="0" fontId="1" fillId="46" borderId="3" xfId="9" applyBorder="1" applyAlignment="1">
      <alignment horizontal="center"/>
    </xf>
    <xf numFmtId="0" fontId="1" fillId="46" borderId="3" xfId="9" applyBorder="1" applyAlignment="1"/>
    <xf numFmtId="4" fontId="1" fillId="46" borderId="3" xfId="9" applyNumberFormat="1" applyBorder="1" applyAlignment="1">
      <alignment horizontal="center" wrapText="1"/>
    </xf>
    <xf numFmtId="0" fontId="1" fillId="47" borderId="27" xfId="10" applyBorder="1" applyAlignment="1">
      <alignment horizontal="center"/>
    </xf>
    <xf numFmtId="0" fontId="1" fillId="48" borderId="3" xfId="11" applyBorder="1" applyAlignment="1">
      <alignment horizontal="center"/>
    </xf>
    <xf numFmtId="0" fontId="1" fillId="48" borderId="3" xfId="11" applyBorder="1" applyAlignment="1"/>
    <xf numFmtId="4" fontId="89" fillId="48" borderId="3" xfId="11" applyNumberFormat="1" applyFont="1" applyBorder="1" applyAlignment="1">
      <alignment horizontal="center" wrapText="1"/>
    </xf>
    <xf numFmtId="0" fontId="90" fillId="0" borderId="3" xfId="0" applyFont="1" applyBorder="1" applyAlignment="1">
      <alignment horizontal="center" wrapText="1"/>
    </xf>
    <xf numFmtId="4" fontId="56" fillId="45" borderId="3" xfId="8" applyNumberFormat="1" applyBorder="1" applyAlignment="1">
      <alignment horizontal="center" wrapText="1"/>
    </xf>
    <xf numFmtId="0" fontId="56" fillId="45" borderId="3" xfId="8" applyBorder="1" applyAlignment="1">
      <alignment horizontal="center" wrapText="1"/>
    </xf>
    <xf numFmtId="0" fontId="91" fillId="44" borderId="109" xfId="7" applyBorder="1" applyAlignment="1">
      <alignment horizontal="center"/>
    </xf>
    <xf numFmtId="0" fontId="91" fillId="44" borderId="3" xfId="7" applyBorder="1" applyAlignment="1">
      <alignment horizontal="justify"/>
    </xf>
    <xf numFmtId="4" fontId="101" fillId="44" borderId="3" xfId="7" applyNumberFormat="1" applyFont="1" applyBorder="1" applyAlignment="1">
      <alignment horizontal="center" wrapText="1"/>
    </xf>
    <xf numFmtId="166" fontId="42" fillId="0" borderId="0" xfId="0" applyNumberFormat="1" applyFont="1" applyAlignment="1">
      <alignment wrapText="1"/>
    </xf>
    <xf numFmtId="0" fontId="37" fillId="0" borderId="3" xfId="0" applyFont="1" applyFill="1" applyBorder="1" applyAlignment="1">
      <alignment vertical="center" wrapText="1"/>
    </xf>
    <xf numFmtId="49" fontId="28" fillId="12" borderId="10" xfId="0" applyNumberFormat="1" applyFont="1" applyFill="1" applyBorder="1" applyAlignment="1">
      <alignment vertical="top" wrapText="1"/>
    </xf>
    <xf numFmtId="168" fontId="28" fillId="13" borderId="10" xfId="0" applyNumberFormat="1" applyFont="1" applyFill="1" applyBorder="1" applyAlignment="1">
      <alignment horizontal="right" vertical="center" wrapText="1"/>
    </xf>
    <xf numFmtId="0" fontId="44" fillId="0" borderId="0" xfId="0" applyFont="1" applyFill="1" applyAlignment="1">
      <alignment wrapText="1"/>
    </xf>
    <xf numFmtId="0" fontId="43" fillId="0" borderId="53" xfId="0" applyFont="1" applyFill="1" applyBorder="1" applyAlignment="1">
      <alignment horizontal="left" vertical="top"/>
    </xf>
    <xf numFmtId="43" fontId="37" fillId="0" borderId="3" xfId="0" applyNumberFormat="1" applyFont="1" applyFill="1" applyBorder="1" applyAlignment="1">
      <alignment vertical="top" wrapText="1"/>
    </xf>
    <xf numFmtId="0" fontId="43" fillId="0" borderId="0" xfId="0" applyFont="1" applyFill="1" applyBorder="1" applyAlignment="1">
      <alignment horizontal="center" vertical="top"/>
    </xf>
    <xf numFmtId="0" fontId="22" fillId="0" borderId="20" xfId="0" applyFont="1" applyFill="1" applyBorder="1" applyAlignment="1">
      <alignment horizontal="center" vertical="top" wrapText="1"/>
    </xf>
    <xf numFmtId="43" fontId="22" fillId="0" borderId="20" xfId="0" applyNumberFormat="1" applyFont="1" applyFill="1" applyBorder="1" applyAlignment="1">
      <alignment horizontal="left" vertical="top"/>
    </xf>
    <xf numFmtId="0" fontId="37" fillId="0" borderId="63" xfId="0" applyFont="1" applyFill="1" applyBorder="1" applyAlignment="1">
      <alignment vertical="top" wrapText="1"/>
    </xf>
    <xf numFmtId="0" fontId="37" fillId="0" borderId="3" xfId="0" applyFont="1" applyFill="1" applyBorder="1" applyAlignment="1">
      <alignment vertical="top" wrapText="1"/>
    </xf>
    <xf numFmtId="4" fontId="3" fillId="0" borderId="0" xfId="0" applyNumberFormat="1" applyFont="1"/>
    <xf numFmtId="0" fontId="67" fillId="21" borderId="42" xfId="0" applyFont="1" applyFill="1" applyBorder="1" applyAlignment="1">
      <alignment horizontal="center" vertical="top" wrapText="1"/>
    </xf>
    <xf numFmtId="0" fontId="67" fillId="21" borderId="45" xfId="0" applyFont="1" applyFill="1" applyBorder="1" applyAlignment="1">
      <alignment horizontal="center" vertical="top" wrapText="1"/>
    </xf>
    <xf numFmtId="0" fontId="67" fillId="21" borderId="72" xfId="0" applyFont="1" applyFill="1" applyBorder="1" applyAlignment="1">
      <alignment horizontal="center" vertical="top" wrapText="1"/>
    </xf>
    <xf numFmtId="0" fontId="35" fillId="21" borderId="42" xfId="0" applyFont="1" applyFill="1" applyBorder="1" applyAlignment="1">
      <alignment horizontal="left" vertical="top" wrapText="1"/>
    </xf>
    <xf numFmtId="0" fontId="35" fillId="21" borderId="45" xfId="0" applyFont="1" applyFill="1" applyBorder="1" applyAlignment="1">
      <alignment horizontal="left" vertical="top" wrapText="1"/>
    </xf>
    <xf numFmtId="0" fontId="35" fillId="21" borderId="48" xfId="0" applyFont="1" applyFill="1" applyBorder="1" applyAlignment="1">
      <alignment horizontal="left" vertical="top" wrapText="1"/>
    </xf>
    <xf numFmtId="0" fontId="6" fillId="21" borderId="42" xfId="0" applyFont="1" applyFill="1" applyBorder="1" applyAlignment="1">
      <alignment horizontal="left" vertical="center" wrapText="1"/>
    </xf>
    <xf numFmtId="0" fontId="6" fillId="21" borderId="72" xfId="0" applyFont="1" applyFill="1" applyBorder="1" applyAlignment="1">
      <alignment horizontal="left" vertical="center" wrapText="1"/>
    </xf>
    <xf numFmtId="0" fontId="6" fillId="21" borderId="17" xfId="0" applyFont="1" applyFill="1" applyBorder="1" applyAlignment="1">
      <alignment horizontal="left" vertical="center" wrapText="1"/>
    </xf>
    <xf numFmtId="0" fontId="6" fillId="21" borderId="18" xfId="0" applyFont="1" applyFill="1" applyBorder="1" applyAlignment="1">
      <alignment horizontal="left" vertical="center" wrapText="1"/>
    </xf>
    <xf numFmtId="0" fontId="6" fillId="21" borderId="99" xfId="0" applyFont="1" applyFill="1" applyBorder="1" applyAlignment="1">
      <alignment horizontal="left" vertical="center" wrapText="1"/>
    </xf>
    <xf numFmtId="0" fontId="6" fillId="21" borderId="100" xfId="0" applyFont="1" applyFill="1" applyBorder="1" applyAlignment="1">
      <alignment horizontal="center" vertical="center" wrapText="1"/>
    </xf>
    <xf numFmtId="0" fontId="6" fillId="21" borderId="99" xfId="0" applyFont="1" applyFill="1" applyBorder="1" applyAlignment="1">
      <alignment horizontal="center" vertical="center" wrapText="1"/>
    </xf>
    <xf numFmtId="0" fontId="6" fillId="34" borderId="17" xfId="0" applyFont="1" applyFill="1" applyBorder="1" applyAlignment="1">
      <alignment horizontal="left" vertical="center" wrapText="1"/>
    </xf>
    <xf numFmtId="0" fontId="6" fillId="34" borderId="99" xfId="0" applyFont="1" applyFill="1" applyBorder="1" applyAlignment="1">
      <alignment horizontal="left" vertical="center" wrapText="1"/>
    </xf>
    <xf numFmtId="0" fontId="6" fillId="21" borderId="42" xfId="0" applyFont="1" applyFill="1" applyBorder="1" applyAlignment="1">
      <alignment horizontal="left"/>
    </xf>
    <xf numFmtId="0" fontId="6" fillId="21" borderId="48" xfId="0" applyFont="1" applyFill="1" applyBorder="1" applyAlignment="1">
      <alignment horizontal="left"/>
    </xf>
    <xf numFmtId="0" fontId="6" fillId="21" borderId="17" xfId="0" applyFont="1" applyFill="1" applyBorder="1" applyAlignment="1">
      <alignment horizontal="left"/>
    </xf>
    <xf numFmtId="0" fontId="6" fillId="21" borderId="18" xfId="0" applyFont="1" applyFill="1" applyBorder="1" applyAlignment="1">
      <alignment horizontal="left"/>
    </xf>
    <xf numFmtId="0" fontId="6" fillId="21" borderId="2" xfId="0" applyFont="1" applyFill="1" applyBorder="1" applyAlignment="1">
      <alignment horizontal="left"/>
    </xf>
    <xf numFmtId="0" fontId="92" fillId="0" borderId="3" xfId="0" applyFont="1" applyBorder="1" applyAlignment="1">
      <alignment horizontal="center"/>
    </xf>
    <xf numFmtId="0" fontId="90" fillId="0" borderId="27" xfId="0" applyFont="1" applyBorder="1" applyAlignment="1">
      <alignment horizontal="center"/>
    </xf>
    <xf numFmtId="0" fontId="45" fillId="21" borderId="17" xfId="0" applyFont="1" applyFill="1" applyBorder="1" applyAlignment="1">
      <alignment horizontal="left" vertical="top"/>
    </xf>
    <xf numFmtId="0" fontId="45" fillId="21" borderId="18" xfId="0" applyFont="1" applyFill="1" applyBorder="1" applyAlignment="1">
      <alignment horizontal="left" vertical="top"/>
    </xf>
    <xf numFmtId="0" fontId="7" fillId="24" borderId="86" xfId="0" applyFont="1" applyFill="1" applyBorder="1" applyAlignment="1">
      <alignment horizontal="left" vertical="top"/>
    </xf>
    <xf numFmtId="0" fontId="7" fillId="24" borderId="87" xfId="0" applyFont="1" applyFill="1" applyBorder="1" applyAlignment="1">
      <alignment horizontal="left" vertical="top"/>
    </xf>
    <xf numFmtId="0" fontId="6" fillId="24" borderId="86" xfId="0" applyFont="1" applyFill="1" applyBorder="1" applyAlignment="1">
      <alignment horizontal="left" vertical="top"/>
    </xf>
    <xf numFmtId="0" fontId="6" fillId="24" borderId="87" xfId="0" applyFont="1" applyFill="1" applyBorder="1" applyAlignment="1">
      <alignment horizontal="left" vertical="top"/>
    </xf>
    <xf numFmtId="0" fontId="7" fillId="21" borderId="86" xfId="0" applyFont="1" applyFill="1" applyBorder="1" applyAlignment="1">
      <alignment horizontal="left"/>
    </xf>
    <xf numFmtId="0" fontId="7" fillId="21" borderId="87" xfId="0" applyFont="1" applyFill="1" applyBorder="1" applyAlignment="1">
      <alignment horizontal="left"/>
    </xf>
    <xf numFmtId="0" fontId="46" fillId="24" borderId="80" xfId="0" applyFont="1" applyFill="1" applyBorder="1" applyAlignment="1">
      <alignment horizontal="left"/>
    </xf>
    <xf numFmtId="0" fontId="46" fillId="24" borderId="85" xfId="0" applyFont="1" applyFill="1" applyBorder="1" applyAlignment="1">
      <alignment horizontal="left"/>
    </xf>
    <xf numFmtId="0" fontId="7" fillId="21" borderId="17" xfId="0" applyFont="1" applyFill="1" applyBorder="1" applyAlignment="1">
      <alignment horizontal="left"/>
    </xf>
    <xf numFmtId="0" fontId="7" fillId="21" borderId="2" xfId="0" applyFont="1" applyFill="1" applyBorder="1" applyAlignment="1">
      <alignment horizontal="left"/>
    </xf>
    <xf numFmtId="0" fontId="45" fillId="32" borderId="17" xfId="0" applyFont="1" applyFill="1" applyBorder="1" applyAlignment="1">
      <alignment horizontal="left"/>
    </xf>
    <xf numFmtId="0" fontId="45" fillId="32" borderId="2" xfId="0" applyFont="1" applyFill="1" applyBorder="1" applyAlignment="1">
      <alignment horizontal="left"/>
    </xf>
    <xf numFmtId="0" fontId="7" fillId="7" borderId="17" xfId="0" applyFont="1" applyFill="1" applyBorder="1" applyAlignment="1">
      <alignment horizontal="left"/>
    </xf>
    <xf numFmtId="0" fontId="7" fillId="7" borderId="2" xfId="0" applyFont="1" applyFill="1" applyBorder="1" applyAlignment="1">
      <alignment horizontal="left"/>
    </xf>
    <xf numFmtId="0" fontId="35" fillId="21" borderId="3" xfId="0" applyFont="1" applyFill="1" applyBorder="1" applyAlignment="1">
      <alignment horizontal="center" vertical="top" wrapText="1"/>
    </xf>
    <xf numFmtId="0" fontId="35" fillId="21" borderId="28" xfId="0" applyFont="1" applyFill="1" applyBorder="1" applyAlignment="1">
      <alignment horizontal="center" vertical="top" wrapText="1"/>
    </xf>
    <xf numFmtId="0" fontId="12" fillId="20" borderId="17" xfId="0" applyFont="1" applyFill="1" applyBorder="1" applyAlignment="1">
      <alignment horizontal="left" vertical="top" wrapText="1"/>
    </xf>
    <xf numFmtId="0" fontId="12" fillId="20" borderId="18" xfId="0" applyFont="1" applyFill="1" applyBorder="1" applyAlignment="1">
      <alignment horizontal="left" vertical="top" wrapText="1"/>
    </xf>
    <xf numFmtId="0" fontId="12" fillId="14" borderId="17" xfId="0" applyFont="1" applyFill="1" applyBorder="1" applyAlignment="1">
      <alignment horizontal="left" vertical="top" wrapText="1"/>
    </xf>
    <xf numFmtId="0" fontId="12" fillId="14" borderId="18" xfId="0" applyFont="1" applyFill="1" applyBorder="1" applyAlignment="1">
      <alignment horizontal="left" vertical="top" wrapText="1"/>
    </xf>
    <xf numFmtId="0" fontId="12" fillId="5" borderId="18" xfId="0" applyFont="1" applyFill="1" applyBorder="1" applyAlignment="1">
      <alignment horizontal="center" vertical="top" wrapText="1"/>
    </xf>
    <xf numFmtId="0" fontId="12" fillId="5" borderId="2" xfId="0" applyFont="1" applyFill="1" applyBorder="1" applyAlignment="1">
      <alignment horizontal="center" vertical="top" wrapText="1"/>
    </xf>
    <xf numFmtId="0" fontId="12" fillId="14" borderId="56" xfId="0" applyFont="1" applyFill="1" applyBorder="1" applyAlignment="1">
      <alignment horizontal="left" vertical="top" wrapText="1"/>
    </xf>
    <xf numFmtId="0" fontId="12" fillId="14" borderId="0" xfId="0" applyFont="1" applyFill="1" applyBorder="1" applyAlignment="1">
      <alignment horizontal="left" vertical="top" wrapText="1"/>
    </xf>
    <xf numFmtId="0" fontId="12" fillId="14" borderId="44" xfId="0" applyFont="1" applyFill="1" applyBorder="1" applyAlignment="1">
      <alignment horizontal="left" vertical="top" wrapText="1"/>
    </xf>
    <xf numFmtId="0" fontId="12" fillId="21" borderId="3" xfId="0" applyFont="1" applyFill="1" applyBorder="1" applyAlignment="1">
      <alignment horizontal="left" vertical="top" wrapText="1"/>
    </xf>
    <xf numFmtId="0" fontId="35" fillId="21" borderId="17" xfId="0" applyFont="1" applyFill="1" applyBorder="1" applyAlignment="1">
      <alignment horizontal="left" vertical="top" wrapText="1"/>
    </xf>
    <xf numFmtId="0" fontId="35" fillId="21" borderId="18" xfId="0" applyFont="1" applyFill="1" applyBorder="1" applyAlignment="1">
      <alignment horizontal="left" vertical="top" wrapText="1"/>
    </xf>
    <xf numFmtId="0" fontId="35" fillId="21" borderId="2" xfId="0" applyFont="1" applyFill="1" applyBorder="1" applyAlignment="1">
      <alignment horizontal="left" vertical="top" wrapText="1"/>
    </xf>
    <xf numFmtId="0" fontId="12" fillId="14" borderId="57" xfId="0" applyFont="1" applyFill="1" applyBorder="1" applyAlignment="1">
      <alignment horizontal="left" vertical="top" wrapText="1"/>
    </xf>
    <xf numFmtId="0" fontId="43" fillId="0" borderId="3" xfId="0" applyFont="1" applyBorder="1" applyAlignment="1">
      <alignment horizontal="center" vertical="top"/>
    </xf>
    <xf numFmtId="0" fontId="22" fillId="0" borderId="3" xfId="0" applyFont="1" applyBorder="1" applyAlignment="1">
      <alignment horizontal="left" vertical="top" wrapText="1"/>
    </xf>
    <xf numFmtId="0" fontId="43" fillId="21" borderId="42" xfId="0" applyFont="1" applyFill="1" applyBorder="1" applyAlignment="1">
      <alignment horizontal="left" wrapText="1"/>
    </xf>
    <xf numFmtId="0" fontId="43" fillId="21" borderId="48" xfId="0" applyFont="1" applyFill="1" applyBorder="1" applyAlignment="1">
      <alignment horizontal="left" wrapText="1"/>
    </xf>
    <xf numFmtId="43" fontId="12" fillId="20" borderId="50" xfId="1" applyFont="1" applyFill="1" applyBorder="1" applyAlignment="1">
      <alignment horizontal="center" vertical="top"/>
    </xf>
    <xf numFmtId="43" fontId="12" fillId="20" borderId="0" xfId="1" applyFont="1" applyFill="1" applyBorder="1" applyAlignment="1">
      <alignment horizontal="center" vertical="top"/>
    </xf>
    <xf numFmtId="0" fontId="12" fillId="8" borderId="68" xfId="0" applyFont="1" applyFill="1" applyBorder="1" applyAlignment="1">
      <alignment horizontal="left" vertical="top"/>
    </xf>
    <xf numFmtId="0" fontId="12" fillId="8" borderId="18" xfId="0" applyFont="1" applyFill="1" applyBorder="1" applyAlignment="1">
      <alignment horizontal="left" vertical="top"/>
    </xf>
    <xf numFmtId="0" fontId="12" fillId="21" borderId="54" xfId="0" applyFont="1" applyFill="1" applyBorder="1" applyAlignment="1">
      <alignment horizontal="left" vertical="top"/>
    </xf>
    <xf numFmtId="0" fontId="12" fillId="21" borderId="18" xfId="0" applyFont="1" applyFill="1" applyBorder="1" applyAlignment="1">
      <alignment horizontal="left" vertical="top"/>
    </xf>
    <xf numFmtId="0" fontId="12" fillId="21" borderId="2" xfId="0" applyFont="1" applyFill="1" applyBorder="1" applyAlignment="1">
      <alignment horizontal="left" vertical="top"/>
    </xf>
    <xf numFmtId="0" fontId="43" fillId="21" borderId="45" xfId="0" applyFont="1" applyFill="1" applyBorder="1" applyAlignment="1">
      <alignment horizontal="left" wrapText="1"/>
    </xf>
    <xf numFmtId="43" fontId="43" fillId="21" borderId="42" xfId="1" applyFont="1" applyFill="1" applyBorder="1" applyAlignment="1">
      <alignment horizontal="left" wrapText="1"/>
    </xf>
    <xf numFmtId="43" fontId="43" fillId="21" borderId="45" xfId="1" applyFont="1" applyFill="1" applyBorder="1" applyAlignment="1">
      <alignment horizontal="left" wrapText="1"/>
    </xf>
    <xf numFmtId="43" fontId="43" fillId="21" borderId="48" xfId="1" applyFont="1" applyFill="1" applyBorder="1" applyAlignment="1">
      <alignment horizontal="left" wrapText="1"/>
    </xf>
    <xf numFmtId="0" fontId="43" fillId="21" borderId="17" xfId="0" applyFont="1" applyFill="1" applyBorder="1" applyAlignment="1">
      <alignment horizontal="center" wrapText="1"/>
    </xf>
    <xf numFmtId="0" fontId="43" fillId="21" borderId="18" xfId="0" applyFont="1" applyFill="1" applyBorder="1" applyAlignment="1">
      <alignment horizontal="center" wrapText="1"/>
    </xf>
    <xf numFmtId="0" fontId="43" fillId="21" borderId="2" xfId="0" applyFont="1" applyFill="1" applyBorder="1" applyAlignment="1">
      <alignment horizontal="center" wrapText="1"/>
    </xf>
    <xf numFmtId="0" fontId="37" fillId="0" borderId="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22" fillId="0" borderId="23" xfId="0" applyFont="1" applyFill="1" applyBorder="1" applyAlignment="1">
      <alignment horizontal="center" vertical="top" wrapText="1"/>
    </xf>
    <xf numFmtId="0" fontId="22" fillId="0" borderId="25" xfId="0" applyFont="1" applyFill="1" applyBorder="1" applyAlignment="1">
      <alignment horizontal="center" vertical="top" wrapText="1"/>
    </xf>
    <xf numFmtId="0" fontId="22" fillId="0" borderId="92" xfId="0" applyFont="1" applyFill="1" applyBorder="1" applyAlignment="1">
      <alignment horizontal="center" vertical="top" wrapText="1"/>
    </xf>
    <xf numFmtId="0" fontId="43" fillId="0" borderId="4" xfId="0" applyFont="1" applyFill="1" applyBorder="1" applyAlignment="1">
      <alignment horizontal="center" vertical="top"/>
    </xf>
    <xf numFmtId="0" fontId="43" fillId="0" borderId="25" xfId="0" applyFont="1" applyFill="1" applyBorder="1" applyAlignment="1">
      <alignment horizontal="center" vertical="top"/>
    </xf>
    <xf numFmtId="0" fontId="43" fillId="0" borderId="5" xfId="0" applyFont="1" applyFill="1" applyBorder="1" applyAlignment="1">
      <alignment horizontal="center" vertical="top"/>
    </xf>
    <xf numFmtId="0" fontId="43" fillId="0" borderId="4" xfId="0" applyFont="1" applyBorder="1" applyAlignment="1">
      <alignment horizontal="center" vertical="top"/>
    </xf>
    <xf numFmtId="0" fontId="43" fillId="0" borderId="25" xfId="0" applyFont="1" applyBorder="1" applyAlignment="1">
      <alignment horizontal="center" vertical="top"/>
    </xf>
    <xf numFmtId="0" fontId="43" fillId="0" borderId="5" xfId="0" applyFont="1" applyBorder="1" applyAlignment="1">
      <alignment horizontal="center" vertical="top"/>
    </xf>
    <xf numFmtId="43" fontId="5" fillId="0" borderId="10" xfId="1" applyFont="1" applyBorder="1" applyAlignment="1">
      <alignment horizontal="left" vertical="center" wrapText="1"/>
    </xf>
    <xf numFmtId="43" fontId="5" fillId="0" borderId="11" xfId="1" applyFont="1" applyBorder="1" applyAlignment="1">
      <alignment horizontal="left" vertical="center" wrapText="1"/>
    </xf>
    <xf numFmtId="43" fontId="5" fillId="0" borderId="12" xfId="1" applyFont="1" applyBorder="1" applyAlignment="1">
      <alignment horizontal="left" vertical="center" wrapText="1"/>
    </xf>
    <xf numFmtId="0" fontId="37" fillId="0" borderId="3" xfId="0" applyFont="1" applyBorder="1" applyAlignment="1">
      <alignment vertical="center" wrapText="1"/>
    </xf>
    <xf numFmtId="0" fontId="22" fillId="25" borderId="23" xfId="0" applyFont="1" applyFill="1" applyBorder="1" applyAlignment="1">
      <alignment horizontal="center" vertical="top" wrapText="1"/>
    </xf>
    <xf numFmtId="0" fontId="22" fillId="25" borderId="25" xfId="0" applyFont="1" applyFill="1" applyBorder="1" applyAlignment="1">
      <alignment horizontal="center" vertical="top" wrapText="1"/>
    </xf>
    <xf numFmtId="0" fontId="22" fillId="25" borderId="92" xfId="0" applyFont="1" applyFill="1" applyBorder="1" applyAlignment="1">
      <alignment horizontal="center" vertical="top" wrapText="1"/>
    </xf>
    <xf numFmtId="43" fontId="38" fillId="0" borderId="10" xfId="1" applyFont="1" applyBorder="1" applyAlignment="1">
      <alignment horizontal="left" vertical="center" wrapText="1"/>
    </xf>
    <xf numFmtId="43" fontId="38" fillId="0" borderId="11" xfId="1" applyFont="1" applyBorder="1" applyAlignment="1">
      <alignment horizontal="left" vertical="center" wrapText="1"/>
    </xf>
    <xf numFmtId="43" fontId="38" fillId="0" borderId="12" xfId="1" applyFont="1" applyBorder="1" applyAlignment="1">
      <alignment horizontal="left" vertical="center" wrapText="1"/>
    </xf>
    <xf numFmtId="0" fontId="43" fillId="0" borderId="94" xfId="0" applyFont="1" applyBorder="1" applyAlignment="1">
      <alignment horizontal="center" vertical="top" wrapText="1"/>
    </xf>
    <xf numFmtId="0" fontId="43" fillId="0" borderId="50" xfId="0" applyFont="1" applyBorder="1" applyAlignment="1">
      <alignment horizontal="center" vertical="top" wrapText="1"/>
    </xf>
    <xf numFmtId="0" fontId="43" fillId="0" borderId="95" xfId="0" applyFont="1" applyBorder="1" applyAlignment="1">
      <alignment horizontal="center" vertical="top"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43" fontId="5" fillId="0" borderId="9" xfId="1" applyFont="1" applyBorder="1" applyAlignment="1">
      <alignment horizontal="left" vertical="center" wrapText="1"/>
    </xf>
    <xf numFmtId="43" fontId="38" fillId="0" borderId="9" xfId="1" applyFont="1" applyBorder="1" applyAlignment="1">
      <alignment horizontal="left" vertical="center" wrapText="1"/>
    </xf>
    <xf numFmtId="0" fontId="37" fillId="0" borderId="4" xfId="0" applyFont="1" applyBorder="1" applyAlignment="1">
      <alignment vertical="center" wrapText="1"/>
    </xf>
    <xf numFmtId="0" fontId="37" fillId="0" borderId="25" xfId="0" applyFont="1" applyBorder="1" applyAlignment="1">
      <alignment vertical="center" wrapText="1"/>
    </xf>
    <xf numFmtId="0" fontId="37" fillId="0" borderId="5" xfId="0" applyFont="1" applyBorder="1" applyAlignment="1">
      <alignment vertical="center" wrapText="1"/>
    </xf>
    <xf numFmtId="43" fontId="49" fillId="0" borderId="9" xfId="1" applyFont="1" applyBorder="1" applyAlignment="1">
      <alignment horizontal="left" vertical="center" wrapText="1"/>
    </xf>
    <xf numFmtId="43" fontId="43" fillId="0" borderId="4" xfId="1" applyFont="1" applyFill="1" applyBorder="1" applyAlignment="1">
      <alignment horizontal="center" vertical="top"/>
    </xf>
    <xf numFmtId="43" fontId="43" fillId="0" borderId="25" xfId="1" applyFont="1" applyFill="1" applyBorder="1" applyAlignment="1">
      <alignment horizontal="center" vertical="top"/>
    </xf>
    <xf numFmtId="43" fontId="43" fillId="0" borderId="5" xfId="1" applyFont="1" applyFill="1" applyBorder="1" applyAlignment="1">
      <alignment horizontal="center" vertical="top"/>
    </xf>
    <xf numFmtId="0" fontId="43" fillId="0" borderId="23" xfId="0" applyFont="1" applyBorder="1" applyAlignment="1">
      <alignment horizontal="center" vertical="top" wrapText="1"/>
    </xf>
    <xf numFmtId="0" fontId="43" fillId="0" borderId="25" xfId="0" applyFont="1" applyBorder="1" applyAlignment="1">
      <alignment horizontal="center" vertical="top" wrapText="1"/>
    </xf>
    <xf numFmtId="0" fontId="43" fillId="0" borderId="92" xfId="0" applyFont="1" applyBorder="1" applyAlignment="1">
      <alignment horizontal="center" vertical="top" wrapText="1"/>
    </xf>
    <xf numFmtId="43" fontId="12" fillId="10" borderId="4" xfId="1" applyFont="1" applyFill="1" applyBorder="1" applyAlignment="1">
      <alignment horizontal="center" vertical="top" wrapText="1"/>
    </xf>
    <xf numFmtId="43" fontId="12" fillId="10" borderId="25" xfId="1" applyFont="1" applyFill="1" applyBorder="1" applyAlignment="1">
      <alignment horizontal="center" vertical="top" wrapText="1"/>
    </xf>
    <xf numFmtId="43" fontId="12" fillId="10" borderId="5" xfId="1" applyFont="1" applyFill="1" applyBorder="1" applyAlignment="1">
      <alignment horizontal="center" vertical="top" wrapText="1"/>
    </xf>
    <xf numFmtId="0" fontId="22" fillId="20" borderId="23" xfId="0" applyFont="1" applyFill="1" applyBorder="1" applyAlignment="1">
      <alignment horizontal="center" vertical="top" wrapText="1"/>
    </xf>
    <xf numFmtId="0" fontId="22" fillId="20" borderId="25" xfId="0" applyFont="1" applyFill="1" applyBorder="1" applyAlignment="1">
      <alignment horizontal="center" vertical="top" wrapText="1"/>
    </xf>
    <xf numFmtId="0" fontId="22" fillId="20" borderId="92" xfId="0" applyFont="1" applyFill="1" applyBorder="1" applyAlignment="1">
      <alignment horizontal="center" vertical="top" wrapText="1"/>
    </xf>
    <xf numFmtId="0" fontId="37" fillId="0" borderId="3" xfId="0" applyFont="1" applyFill="1" applyBorder="1" applyAlignment="1">
      <alignment vertical="center" wrapText="1"/>
    </xf>
    <xf numFmtId="0" fontId="4" fillId="4" borderId="8" xfId="0" applyFont="1" applyFill="1" applyBorder="1" applyAlignment="1"/>
    <xf numFmtId="0" fontId="4" fillId="4" borderId="9" xfId="0" applyFont="1" applyFill="1" applyBorder="1" applyAlignment="1"/>
    <xf numFmtId="0" fontId="25" fillId="5" borderId="3" xfId="0" applyFont="1" applyFill="1" applyBorder="1" applyAlignment="1">
      <alignment vertical="center"/>
    </xf>
    <xf numFmtId="0" fontId="25" fillId="5" borderId="27" xfId="0" applyFont="1" applyFill="1" applyBorder="1" applyAlignment="1">
      <alignment vertical="center" wrapText="1"/>
    </xf>
    <xf numFmtId="0" fontId="60" fillId="5" borderId="3" xfId="0" applyFont="1" applyFill="1" applyBorder="1" applyAlignment="1">
      <alignment vertical="center"/>
    </xf>
    <xf numFmtId="0" fontId="25" fillId="5" borderId="3" xfId="0" applyFont="1" applyFill="1" applyBorder="1" applyAlignment="1">
      <alignment horizontal="center" vertical="center"/>
    </xf>
    <xf numFmtId="0" fontId="25" fillId="5" borderId="3" xfId="0" applyFont="1" applyFill="1" applyBorder="1" applyAlignment="1">
      <alignment horizontal="center"/>
    </xf>
    <xf numFmtId="0" fontId="36" fillId="5" borderId="3" xfId="0" applyFont="1" applyFill="1" applyBorder="1" applyAlignment="1">
      <alignment horizontal="center"/>
    </xf>
    <xf numFmtId="43" fontId="25" fillId="5" borderId="3" xfId="1" applyFont="1" applyFill="1" applyBorder="1" applyAlignment="1">
      <alignment horizontal="center" vertical="center"/>
    </xf>
    <xf numFmtId="0" fontId="12" fillId="21" borderId="56" xfId="0" applyFont="1" applyFill="1" applyBorder="1" applyAlignment="1">
      <alignment horizontal="left" vertical="top"/>
    </xf>
    <xf numFmtId="0" fontId="12" fillId="21" borderId="0" xfId="0" applyFont="1" applyFill="1" applyBorder="1" applyAlignment="1">
      <alignment horizontal="left" vertical="top"/>
    </xf>
    <xf numFmtId="0" fontId="51" fillId="0" borderId="10" xfId="0" applyFont="1" applyBorder="1" applyAlignment="1">
      <alignment horizontal="justify" vertical="center" wrapText="1"/>
    </xf>
    <xf numFmtId="0" fontId="51" fillId="0" borderId="11" xfId="0" applyFont="1" applyBorder="1" applyAlignment="1">
      <alignment horizontal="justify" vertical="center" wrapText="1"/>
    </xf>
    <xf numFmtId="0" fontId="51" fillId="0" borderId="12" xfId="0" applyFont="1" applyBorder="1" applyAlignment="1">
      <alignment horizontal="justify" vertical="center" wrapText="1"/>
    </xf>
    <xf numFmtId="0" fontId="51" fillId="0" borderId="10" xfId="0" applyFont="1" applyBorder="1" applyAlignment="1">
      <alignment horizontal="left" vertical="center" wrapText="1"/>
    </xf>
    <xf numFmtId="0" fontId="51" fillId="0" borderId="11" xfId="0" applyFont="1" applyBorder="1" applyAlignment="1">
      <alignment horizontal="left" vertical="center" wrapText="1"/>
    </xf>
    <xf numFmtId="0" fontId="51" fillId="0" borderId="12" xfId="0" applyFont="1" applyBorder="1" applyAlignment="1">
      <alignment horizontal="left" vertical="center" wrapText="1"/>
    </xf>
    <xf numFmtId="0" fontId="60" fillId="5" borderId="28" xfId="0" applyFont="1" applyFill="1" applyBorder="1" applyAlignment="1">
      <alignment horizontal="center" wrapText="1"/>
    </xf>
    <xf numFmtId="0" fontId="43" fillId="0" borderId="10" xfId="0" applyFont="1" applyBorder="1" applyAlignment="1">
      <alignment horizontal="justify" vertical="center" wrapText="1"/>
    </xf>
    <xf numFmtId="0" fontId="43" fillId="0" borderId="11" xfId="0" applyFont="1" applyBorder="1" applyAlignment="1">
      <alignment horizontal="justify" vertical="center" wrapText="1"/>
    </xf>
    <xf numFmtId="0" fontId="43" fillId="0" borderId="12" xfId="0" applyFont="1" applyBorder="1" applyAlignment="1">
      <alignment horizontal="justify" vertical="center" wrapText="1"/>
    </xf>
    <xf numFmtId="0" fontId="22" fillId="27" borderId="23" xfId="0" applyFont="1" applyFill="1" applyBorder="1" applyAlignment="1">
      <alignment horizontal="center" vertical="top" wrapText="1"/>
    </xf>
    <xf numFmtId="0" fontId="22" fillId="27" borderId="25" xfId="0" applyFont="1" applyFill="1" applyBorder="1" applyAlignment="1">
      <alignment horizontal="center" vertical="top" wrapText="1"/>
    </xf>
    <xf numFmtId="0" fontId="22" fillId="27" borderId="92" xfId="0" applyFont="1" applyFill="1" applyBorder="1" applyAlignment="1">
      <alignment horizontal="center" vertical="top" wrapText="1"/>
    </xf>
    <xf numFmtId="0" fontId="22" fillId="3" borderId="4" xfId="0" applyFont="1" applyFill="1" applyBorder="1" applyAlignment="1">
      <alignment horizontal="center" vertical="top"/>
    </xf>
    <xf numFmtId="0" fontId="22" fillId="3" borderId="25" xfId="0" applyFont="1" applyFill="1" applyBorder="1" applyAlignment="1">
      <alignment horizontal="center" vertical="top"/>
    </xf>
    <xf numFmtId="0" fontId="22" fillId="3" borderId="5" xfId="0" applyFont="1" applyFill="1" applyBorder="1" applyAlignment="1">
      <alignment horizontal="center" vertical="top"/>
    </xf>
    <xf numFmtId="0" fontId="22" fillId="2" borderId="23" xfId="0" applyFont="1" applyFill="1" applyBorder="1" applyAlignment="1">
      <alignment horizontal="center" vertical="top" wrapText="1"/>
    </xf>
    <xf numFmtId="0" fontId="22" fillId="2" borderId="25" xfId="0" applyFont="1" applyFill="1" applyBorder="1" applyAlignment="1">
      <alignment horizontal="center" vertical="top" wrapText="1"/>
    </xf>
    <xf numFmtId="0" fontId="22" fillId="2" borderId="92" xfId="0" applyFont="1" applyFill="1" applyBorder="1" applyAlignment="1">
      <alignment horizontal="center" vertical="top" wrapText="1"/>
    </xf>
    <xf numFmtId="0" fontId="43" fillId="0" borderId="59" xfId="0" applyFont="1" applyBorder="1" applyAlignment="1">
      <alignment horizontal="center" vertical="top"/>
    </xf>
    <xf numFmtId="0" fontId="43" fillId="0" borderId="0" xfId="0" applyFont="1" applyBorder="1" applyAlignment="1">
      <alignment horizontal="center" vertical="top"/>
    </xf>
    <xf numFmtId="0" fontId="43" fillId="0" borderId="20" xfId="0" applyFont="1" applyBorder="1" applyAlignment="1">
      <alignment horizontal="center" vertical="top"/>
    </xf>
    <xf numFmtId="0" fontId="22" fillId="15" borderId="97" xfId="0" applyFont="1" applyFill="1" applyBorder="1" applyAlignment="1">
      <alignment horizontal="center" vertical="top" wrapText="1"/>
    </xf>
    <xf numFmtId="0" fontId="22" fillId="15" borderId="44" xfId="0" applyFont="1" applyFill="1" applyBorder="1" applyAlignment="1">
      <alignment horizontal="center" vertical="top" wrapText="1"/>
    </xf>
    <xf numFmtId="0" fontId="22" fillId="15" borderId="67" xfId="0" applyFont="1" applyFill="1" applyBorder="1" applyAlignment="1">
      <alignment horizontal="center" vertical="top" wrapText="1"/>
    </xf>
    <xf numFmtId="0" fontId="37" fillId="0" borderId="10" xfId="0" applyFont="1" applyBorder="1" applyAlignment="1">
      <alignment horizontal="left" vertical="center" wrapText="1"/>
    </xf>
    <xf numFmtId="0" fontId="37" fillId="0" borderId="11" xfId="0" applyFont="1" applyBorder="1" applyAlignment="1">
      <alignment horizontal="left" vertical="center" wrapText="1"/>
    </xf>
    <xf numFmtId="0" fontId="37" fillId="0" borderId="12" xfId="0" applyFont="1" applyBorder="1" applyAlignment="1">
      <alignment horizontal="left" vertical="center" wrapText="1"/>
    </xf>
    <xf numFmtId="0" fontId="22" fillId="16" borderId="23" xfId="0" applyFont="1" applyFill="1" applyBorder="1" applyAlignment="1">
      <alignment horizontal="center" vertical="top" wrapText="1"/>
    </xf>
    <xf numFmtId="0" fontId="22" fillId="16" borderId="25" xfId="0" applyFont="1" applyFill="1" applyBorder="1" applyAlignment="1">
      <alignment horizontal="center" vertical="top" wrapText="1"/>
    </xf>
    <xf numFmtId="0" fontId="22" fillId="16" borderId="92" xfId="0" applyFont="1" applyFill="1" applyBorder="1" applyAlignment="1">
      <alignment horizontal="center" vertical="top" wrapText="1"/>
    </xf>
    <xf numFmtId="0" fontId="22" fillId="26" borderId="23" xfId="0" applyFont="1" applyFill="1" applyBorder="1" applyAlignment="1">
      <alignment horizontal="center" vertical="top" wrapText="1"/>
    </xf>
    <xf numFmtId="0" fontId="22" fillId="26" borderId="25" xfId="0" applyFont="1" applyFill="1" applyBorder="1" applyAlignment="1">
      <alignment horizontal="center" vertical="top" wrapText="1"/>
    </xf>
    <xf numFmtId="0" fontId="22" fillId="26" borderId="92" xfId="0" applyFont="1" applyFill="1" applyBorder="1" applyAlignment="1">
      <alignment horizontal="center" vertical="top" wrapText="1"/>
    </xf>
    <xf numFmtId="0" fontId="22" fillId="6" borderId="23" xfId="0" applyFont="1" applyFill="1" applyBorder="1" applyAlignment="1">
      <alignment horizontal="center" vertical="top" wrapText="1"/>
    </xf>
    <xf numFmtId="0" fontId="22" fillId="6" borderId="25" xfId="0" applyFont="1" applyFill="1" applyBorder="1" applyAlignment="1">
      <alignment horizontal="center" vertical="top" wrapText="1"/>
    </xf>
    <xf numFmtId="0" fontId="22" fillId="6" borderId="92" xfId="0" applyFont="1" applyFill="1" applyBorder="1" applyAlignment="1">
      <alignment horizontal="center" vertical="top" wrapText="1"/>
    </xf>
    <xf numFmtId="0" fontId="22" fillId="2" borderId="90" xfId="0" applyFont="1" applyFill="1" applyBorder="1" applyAlignment="1">
      <alignment horizontal="center" vertical="top" wrapText="1"/>
    </xf>
    <xf numFmtId="0" fontId="22" fillId="2" borderId="26" xfId="0" applyFont="1" applyFill="1" applyBorder="1" applyAlignment="1">
      <alignment horizontal="center" vertical="top" wrapText="1"/>
    </xf>
    <xf numFmtId="0" fontId="22" fillId="2" borderId="93" xfId="0" applyFont="1" applyFill="1" applyBorder="1" applyAlignment="1">
      <alignment horizontal="center" vertical="top" wrapText="1"/>
    </xf>
    <xf numFmtId="0" fontId="22" fillId="0" borderId="4" xfId="0" applyFont="1" applyFill="1" applyBorder="1" applyAlignment="1">
      <alignment horizontal="center" vertical="top"/>
    </xf>
    <xf numFmtId="0" fontId="22" fillId="0" borderId="25" xfId="0" applyFont="1" applyFill="1" applyBorder="1" applyAlignment="1">
      <alignment horizontal="center" vertical="top"/>
    </xf>
    <xf numFmtId="0" fontId="22" fillId="0" borderId="5" xfId="0" applyFont="1" applyFill="1" applyBorder="1" applyAlignment="1">
      <alignment horizontal="center" vertical="top"/>
    </xf>
    <xf numFmtId="0" fontId="22" fillId="2" borderId="94" xfId="0" applyFont="1" applyFill="1" applyBorder="1" applyAlignment="1">
      <alignment horizontal="center" vertical="top" wrapText="1"/>
    </xf>
    <xf numFmtId="0" fontId="22" fillId="2" borderId="50" xfId="0" applyFont="1" applyFill="1" applyBorder="1" applyAlignment="1">
      <alignment horizontal="center" vertical="top" wrapText="1"/>
    </xf>
    <xf numFmtId="0" fontId="22" fillId="2" borderId="95" xfId="0" applyFont="1" applyFill="1" applyBorder="1" applyAlignment="1">
      <alignment horizontal="center" vertical="top" wrapText="1"/>
    </xf>
    <xf numFmtId="43" fontId="28" fillId="0" borderId="29" xfId="1" applyFont="1" applyFill="1" applyBorder="1" applyAlignment="1">
      <alignment horizontal="center" vertical="top" wrapText="1"/>
    </xf>
    <xf numFmtId="43" fontId="28" fillId="0" borderId="50" xfId="1" applyFont="1" applyFill="1" applyBorder="1" applyAlignment="1">
      <alignment horizontal="center" vertical="top" wrapText="1"/>
    </xf>
    <xf numFmtId="43" fontId="28" fillId="0" borderId="60" xfId="1" applyFont="1" applyFill="1" applyBorder="1" applyAlignment="1">
      <alignment horizontal="center" vertical="top" wrapText="1"/>
    </xf>
    <xf numFmtId="0" fontId="22" fillId="3" borderId="94" xfId="0" applyFont="1" applyFill="1" applyBorder="1" applyAlignment="1">
      <alignment horizontal="center" vertical="top" wrapText="1"/>
    </xf>
    <xf numFmtId="0" fontId="22" fillId="3" borderId="50" xfId="0" applyFont="1" applyFill="1" applyBorder="1" applyAlignment="1">
      <alignment horizontal="center" vertical="top" wrapText="1"/>
    </xf>
    <xf numFmtId="0" fontId="22" fillId="3" borderId="95" xfId="0" applyFont="1" applyFill="1" applyBorder="1" applyAlignment="1">
      <alignment horizontal="center" vertical="top" wrapText="1"/>
    </xf>
    <xf numFmtId="43" fontId="16" fillId="0" borderId="4" xfId="1" applyFont="1" applyFill="1" applyBorder="1" applyAlignment="1">
      <alignment horizontal="center" vertical="center"/>
    </xf>
    <xf numFmtId="43" fontId="16" fillId="0" borderId="25" xfId="1" applyFont="1" applyFill="1" applyBorder="1" applyAlignment="1">
      <alignment horizontal="center" vertical="center"/>
    </xf>
    <xf numFmtId="43" fontId="6" fillId="21" borderId="42" xfId="1" applyFont="1" applyFill="1" applyBorder="1" applyAlignment="1">
      <alignment horizontal="center" vertical="top" wrapText="1"/>
    </xf>
    <xf numFmtId="43" fontId="6" fillId="21" borderId="48" xfId="1" applyFont="1" applyFill="1" applyBorder="1" applyAlignment="1">
      <alignment horizontal="center" vertical="top" wrapText="1"/>
    </xf>
    <xf numFmtId="0" fontId="6" fillId="0" borderId="42" xfId="0" applyFont="1" applyBorder="1" applyAlignment="1">
      <alignment horizontal="center" vertical="top" wrapText="1"/>
    </xf>
    <xf numFmtId="0" fontId="6" fillId="0" borderId="48" xfId="0" applyFont="1" applyBorder="1" applyAlignment="1">
      <alignment horizontal="center" vertical="top" wrapText="1"/>
    </xf>
    <xf numFmtId="0" fontId="6" fillId="0" borderId="42" xfId="0" applyFont="1" applyBorder="1" applyAlignment="1">
      <alignment horizontal="left" vertical="center" wrapText="1"/>
    </xf>
    <xf numFmtId="0" fontId="6" fillId="0" borderId="48" xfId="0" applyFont="1" applyBorder="1" applyAlignment="1">
      <alignment horizontal="left" vertical="center" wrapText="1"/>
    </xf>
    <xf numFmtId="0" fontId="6" fillId="0" borderId="42" xfId="0" applyFont="1" applyBorder="1" applyAlignment="1">
      <alignment horizontal="left" vertical="center"/>
    </xf>
    <xf numFmtId="0" fontId="6" fillId="0" borderId="48" xfId="0" applyFont="1" applyBorder="1" applyAlignment="1">
      <alignment horizontal="left" vertical="center"/>
    </xf>
    <xf numFmtId="0" fontId="6" fillId="21" borderId="42" xfId="0" applyFont="1" applyFill="1" applyBorder="1" applyAlignment="1">
      <alignment horizontal="center" vertical="top" wrapText="1"/>
    </xf>
    <xf numFmtId="0" fontId="6" fillId="21" borderId="48" xfId="0" applyFont="1" applyFill="1" applyBorder="1" applyAlignment="1">
      <alignment horizontal="center" vertical="top" wrapText="1"/>
    </xf>
    <xf numFmtId="0" fontId="6" fillId="0" borderId="98" xfId="0" applyFont="1" applyBorder="1" applyAlignment="1">
      <alignment horizontal="center" vertical="top" wrapText="1"/>
    </xf>
    <xf numFmtId="0" fontId="39" fillId="21" borderId="17" xfId="0" applyFont="1" applyFill="1" applyBorder="1" applyAlignment="1">
      <alignment horizontal="center" vertical="center" wrapText="1"/>
    </xf>
    <xf numFmtId="0" fontId="39" fillId="21" borderId="18" xfId="0" applyFont="1" applyFill="1" applyBorder="1" applyAlignment="1">
      <alignment horizontal="center" vertical="center" wrapText="1"/>
    </xf>
    <xf numFmtId="0" fontId="39" fillId="21" borderId="2"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5" xfId="0" applyFont="1" applyBorder="1" applyAlignment="1">
      <alignment horizontal="center" vertical="top" wrapText="1"/>
    </xf>
    <xf numFmtId="0" fontId="6" fillId="0" borderId="45" xfId="0" applyFont="1" applyBorder="1" applyAlignment="1">
      <alignment horizontal="left" vertical="center" wrapText="1"/>
    </xf>
    <xf numFmtId="0" fontId="48" fillId="0" borderId="10"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0" borderId="12" xfId="0" applyFont="1" applyFill="1" applyBorder="1" applyAlignment="1">
      <alignment horizontal="center" vertical="center" wrapText="1"/>
    </xf>
    <xf numFmtId="0" fontId="48" fillId="0" borderId="9" xfId="0" applyFont="1" applyFill="1" applyBorder="1" applyAlignment="1">
      <alignment horizontal="center" vertical="center" wrapText="1"/>
    </xf>
    <xf numFmtId="0" fontId="49" fillId="3" borderId="8"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49" fillId="3" borderId="12" xfId="0" applyFont="1" applyFill="1" applyBorder="1" applyAlignment="1">
      <alignment horizontal="center" vertical="center" wrapText="1"/>
    </xf>
    <xf numFmtId="43" fontId="49" fillId="3" borderId="10" xfId="1" applyFont="1" applyFill="1" applyBorder="1" applyAlignment="1">
      <alignment horizontal="center" vertical="center" wrapText="1"/>
    </xf>
    <xf numFmtId="43" fontId="49" fillId="3" borderId="11" xfId="1" applyFont="1" applyFill="1" applyBorder="1" applyAlignment="1">
      <alignment horizontal="center" vertical="center" wrapText="1"/>
    </xf>
    <xf numFmtId="43" fontId="49" fillId="3" borderId="12" xfId="1" applyFont="1" applyFill="1" applyBorder="1" applyAlignment="1">
      <alignment horizontal="center" vertical="center" wrapText="1"/>
    </xf>
    <xf numFmtId="4" fontId="48" fillId="0" borderId="9" xfId="0" applyNumberFormat="1" applyFont="1" applyFill="1" applyBorder="1" applyAlignment="1">
      <alignment horizontal="center" vertical="center" wrapText="1"/>
    </xf>
    <xf numFmtId="43" fontId="37" fillId="0" borderId="4" xfId="1" applyFont="1" applyFill="1" applyBorder="1" applyAlignment="1">
      <alignment horizontal="center" vertical="center" wrapText="1"/>
    </xf>
    <xf numFmtId="43" fontId="37" fillId="0" borderId="25" xfId="1" applyFont="1" applyFill="1" applyBorder="1" applyAlignment="1">
      <alignment horizontal="center" vertical="center" wrapText="1"/>
    </xf>
    <xf numFmtId="43" fontId="37" fillId="0" borderId="5" xfId="1" applyFont="1" applyFill="1" applyBorder="1" applyAlignment="1">
      <alignment horizontal="center" vertical="center" wrapText="1"/>
    </xf>
    <xf numFmtId="49" fontId="80" fillId="9" borderId="31" xfId="0" applyNumberFormat="1" applyFont="1" applyFill="1" applyBorder="1" applyAlignment="1">
      <alignment horizontal="left" vertical="center"/>
    </xf>
    <xf numFmtId="49" fontId="80" fillId="9" borderId="28" xfId="0" applyNumberFormat="1" applyFont="1" applyFill="1" applyBorder="1" applyAlignment="1">
      <alignment horizontal="left" vertical="center"/>
    </xf>
    <xf numFmtId="49" fontId="80" fillId="10" borderId="3" xfId="0" applyNumberFormat="1" applyFont="1" applyFill="1" applyBorder="1" applyAlignment="1" applyProtection="1">
      <alignment horizontal="left" vertical="center" wrapText="1"/>
      <protection locked="0"/>
    </xf>
    <xf numFmtId="49" fontId="80" fillId="10" borderId="27" xfId="0" applyNumberFormat="1" applyFont="1" applyFill="1" applyBorder="1" applyAlignment="1" applyProtection="1">
      <alignment horizontal="center" vertical="center" wrapText="1"/>
      <protection locked="0"/>
    </xf>
    <xf numFmtId="49" fontId="80" fillId="10" borderId="31" xfId="0" applyNumberFormat="1" applyFont="1" applyFill="1" applyBorder="1" applyAlignment="1" applyProtection="1">
      <alignment horizontal="center" vertical="center" wrapText="1"/>
      <protection locked="0"/>
    </xf>
    <xf numFmtId="49" fontId="80" fillId="6" borderId="30" xfId="0" applyNumberFormat="1" applyFont="1" applyFill="1" applyBorder="1" applyAlignment="1">
      <alignment vertical="center"/>
    </xf>
    <xf numFmtId="49" fontId="80" fillId="6" borderId="32" xfId="0" applyNumberFormat="1" applyFont="1" applyFill="1" applyBorder="1" applyAlignment="1">
      <alignment vertical="center"/>
    </xf>
    <xf numFmtId="49" fontId="80" fillId="6" borderId="29" xfId="0" applyNumberFormat="1" applyFont="1" applyFill="1" applyBorder="1" applyAlignment="1" applyProtection="1">
      <alignment horizontal="center"/>
      <protection locked="0"/>
    </xf>
    <xf numFmtId="49" fontId="80" fillId="6" borderId="30" xfId="0" applyNumberFormat="1" applyFont="1" applyFill="1" applyBorder="1" applyAlignment="1" applyProtection="1">
      <alignment horizontal="center"/>
      <protection locked="0"/>
    </xf>
    <xf numFmtId="49" fontId="80" fillId="6" borderId="30" xfId="0" applyNumberFormat="1" applyFont="1" applyFill="1" applyBorder="1" applyAlignment="1">
      <alignment horizontal="center"/>
    </xf>
    <xf numFmtId="49" fontId="80" fillId="6" borderId="0" xfId="0" applyNumberFormat="1" applyFont="1" applyFill="1" applyBorder="1" applyAlignment="1">
      <alignment horizontal="center"/>
    </xf>
    <xf numFmtId="4" fontId="48" fillId="0" borderId="10" xfId="0" applyNumberFormat="1" applyFont="1" applyFill="1" applyBorder="1" applyAlignment="1">
      <alignment horizontal="center" vertical="center" wrapText="1"/>
    </xf>
    <xf numFmtId="4" fontId="48" fillId="0" borderId="11" xfId="0" applyNumberFormat="1" applyFont="1" applyFill="1" applyBorder="1" applyAlignment="1">
      <alignment horizontal="center" vertical="center" wrapText="1"/>
    </xf>
    <xf numFmtId="4" fontId="48" fillId="0" borderId="12" xfId="0" applyNumberFormat="1"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43" fontId="28" fillId="0" borderId="10" xfId="1" applyFont="1" applyFill="1" applyBorder="1" applyAlignment="1">
      <alignment horizontal="center" vertical="center" wrapText="1"/>
    </xf>
    <xf numFmtId="43" fontId="28" fillId="0" borderId="11" xfId="1" applyFont="1" applyFill="1" applyBorder="1" applyAlignment="1">
      <alignment horizontal="center" vertical="center" wrapText="1"/>
    </xf>
    <xf numFmtId="43" fontId="28" fillId="0" borderId="12" xfId="1" applyFont="1" applyFill="1" applyBorder="1" applyAlignment="1">
      <alignment horizontal="center" vertical="center" wrapText="1"/>
    </xf>
    <xf numFmtId="0" fontId="39" fillId="6" borderId="0" xfId="0" applyFont="1" applyFill="1" applyBorder="1" applyAlignment="1">
      <alignment horizontal="center"/>
    </xf>
    <xf numFmtId="0" fontId="48" fillId="38" borderId="6" xfId="0" applyNumberFormat="1" applyFont="1" applyFill="1" applyBorder="1" applyAlignment="1">
      <alignment horizontal="center" vertical="center" wrapText="1"/>
    </xf>
    <xf numFmtId="0" fontId="48" fillId="38" borderId="8" xfId="0" applyNumberFormat="1" applyFont="1" applyFill="1" applyBorder="1" applyAlignment="1">
      <alignment horizontal="center" vertical="center" wrapText="1"/>
    </xf>
    <xf numFmtId="49" fontId="48" fillId="38" borderId="7" xfId="0" applyNumberFormat="1" applyFont="1" applyFill="1" applyBorder="1" applyAlignment="1">
      <alignment horizontal="center" vertical="center"/>
    </xf>
    <xf numFmtId="49" fontId="48" fillId="38" borderId="9" xfId="0" applyNumberFormat="1" applyFont="1" applyFill="1" applyBorder="1" applyAlignment="1">
      <alignment horizontal="center" vertical="center"/>
    </xf>
    <xf numFmtId="49" fontId="81" fillId="38" borderId="7" xfId="0" applyNumberFormat="1" applyFont="1" applyFill="1" applyBorder="1" applyAlignment="1">
      <alignment horizontal="center" vertical="center"/>
    </xf>
    <xf numFmtId="49" fontId="80" fillId="10" borderId="27" xfId="0" applyNumberFormat="1" applyFont="1" applyFill="1" applyBorder="1" applyAlignment="1" applyProtection="1">
      <alignment horizontal="left" vertical="center"/>
      <protection locked="0"/>
    </xf>
    <xf numFmtId="49" fontId="80" fillId="10" borderId="31" xfId="0" applyNumberFormat="1" applyFont="1" applyFill="1" applyBorder="1" applyAlignment="1" applyProtection="1">
      <alignment horizontal="left" vertical="center"/>
      <protection locked="0"/>
    </xf>
    <xf numFmtId="49" fontId="80" fillId="10" borderId="27" xfId="0" applyNumberFormat="1" applyFont="1" applyFill="1" applyBorder="1" applyAlignment="1" applyProtection="1">
      <alignment horizontal="left" vertical="top" wrapText="1"/>
      <protection locked="0"/>
    </xf>
    <xf numFmtId="49" fontId="80" fillId="10" borderId="31" xfId="0" applyNumberFormat="1" applyFont="1" applyFill="1" applyBorder="1" applyAlignment="1" applyProtection="1">
      <alignment horizontal="left" vertical="top" wrapText="1"/>
      <protection locked="0"/>
    </xf>
    <xf numFmtId="49" fontId="80" fillId="10" borderId="27" xfId="0" applyNumberFormat="1" applyFont="1" applyFill="1" applyBorder="1" applyAlignment="1" applyProtection="1">
      <alignment horizontal="left" vertical="center" wrapText="1"/>
      <protection locked="0"/>
    </xf>
    <xf numFmtId="49" fontId="80" fillId="10" borderId="31" xfId="0" applyNumberFormat="1" applyFont="1" applyFill="1" applyBorder="1" applyAlignment="1" applyProtection="1">
      <alignment horizontal="left" vertical="center" wrapText="1"/>
      <protection locked="0"/>
    </xf>
    <xf numFmtId="49" fontId="80" fillId="9" borderId="27" xfId="0" applyNumberFormat="1" applyFont="1" applyFill="1" applyBorder="1" applyAlignment="1">
      <alignment horizontal="left" vertical="center"/>
    </xf>
    <xf numFmtId="49" fontId="80" fillId="10" borderId="29" xfId="0" applyNumberFormat="1" applyFont="1" applyFill="1" applyBorder="1" applyAlignment="1" applyProtection="1">
      <alignment horizontal="left" vertical="center"/>
      <protection locked="0"/>
    </xf>
    <xf numFmtId="49" fontId="80" fillId="10" borderId="30" xfId="0" applyNumberFormat="1" applyFont="1" applyFill="1" applyBorder="1" applyAlignment="1" applyProtection="1">
      <alignment horizontal="left" vertical="center"/>
      <protection locked="0"/>
    </xf>
    <xf numFmtId="49" fontId="81" fillId="38" borderId="7" xfId="0" applyNumberFormat="1" applyFont="1" applyFill="1" applyBorder="1" applyAlignment="1">
      <alignment horizontal="center" vertical="center" wrapText="1"/>
    </xf>
    <xf numFmtId="49" fontId="81" fillId="38" borderId="3" xfId="0" applyNumberFormat="1" applyFont="1" applyFill="1" applyBorder="1" applyAlignment="1">
      <alignment horizontal="center" vertical="center"/>
    </xf>
    <xf numFmtId="49" fontId="48" fillId="38" borderId="9" xfId="0" applyNumberFormat="1"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43" fontId="28" fillId="0" borderId="96" xfId="1" applyFont="1" applyFill="1" applyBorder="1" applyAlignment="1">
      <alignment horizontal="center" vertical="center" wrapText="1"/>
    </xf>
    <xf numFmtId="165" fontId="49" fillId="3" borderId="8" xfId="1" applyNumberFormat="1" applyFont="1" applyFill="1" applyBorder="1" applyAlignment="1">
      <alignment horizontal="center" vertical="center" wrapText="1"/>
    </xf>
    <xf numFmtId="43" fontId="49" fillId="3" borderId="9" xfId="0" applyNumberFormat="1" applyFont="1" applyFill="1" applyBorder="1" applyAlignment="1">
      <alignment horizontal="center" vertical="center" wrapText="1"/>
    </xf>
    <xf numFmtId="43" fontId="49" fillId="3" borderId="9" xfId="1" applyFont="1" applyFill="1" applyBorder="1" applyAlignment="1">
      <alignment horizontal="center" vertical="center" wrapText="1"/>
    </xf>
    <xf numFmtId="43" fontId="29" fillId="0" borderId="9" xfId="1" applyFont="1" applyBorder="1" applyAlignment="1">
      <alignment horizontal="center" vertical="center"/>
    </xf>
    <xf numFmtId="0" fontId="49" fillId="3" borderId="13" xfId="0" applyFont="1" applyFill="1" applyBorder="1" applyAlignment="1">
      <alignment horizontal="center" vertical="center" wrapText="1"/>
    </xf>
    <xf numFmtId="0" fontId="49" fillId="3" borderId="14" xfId="0" applyFont="1" applyFill="1" applyBorder="1" applyAlignment="1">
      <alignment horizontal="center" vertical="center" wrapText="1"/>
    </xf>
    <xf numFmtId="0" fontId="49" fillId="3" borderId="15" xfId="0" applyFont="1" applyFill="1" applyBorder="1" applyAlignment="1">
      <alignment horizontal="center" vertical="center" wrapText="1"/>
    </xf>
    <xf numFmtId="43" fontId="48" fillId="0" borderId="10" xfId="1" applyFont="1" applyFill="1" applyBorder="1" applyAlignment="1">
      <alignment horizontal="center" vertical="center" wrapText="1"/>
    </xf>
    <xf numFmtId="43" fontId="48" fillId="0" borderId="11" xfId="1" applyFont="1" applyFill="1" applyBorder="1" applyAlignment="1">
      <alignment horizontal="center" vertical="center" wrapText="1"/>
    </xf>
    <xf numFmtId="43" fontId="48" fillId="0" borderId="12" xfId="1" applyFont="1" applyFill="1" applyBorder="1" applyAlignment="1">
      <alignment horizontal="center" vertical="center" wrapText="1"/>
    </xf>
    <xf numFmtId="43" fontId="49" fillId="0" borderId="9" xfId="1" applyFont="1" applyBorder="1" applyAlignment="1">
      <alignment horizontal="center" vertical="center"/>
    </xf>
    <xf numFmtId="43" fontId="49" fillId="3" borderId="10" xfId="0" applyNumberFormat="1" applyFont="1" applyFill="1" applyBorder="1" applyAlignment="1">
      <alignment horizontal="center" vertical="center" wrapText="1"/>
    </xf>
    <xf numFmtId="43" fontId="49" fillId="3" borderId="11" xfId="0" applyNumberFormat="1" applyFont="1" applyFill="1" applyBorder="1" applyAlignment="1">
      <alignment horizontal="center" vertical="center" wrapText="1"/>
    </xf>
    <xf numFmtId="43" fontId="49" fillId="3" borderId="12" xfId="0" applyNumberFormat="1" applyFont="1" applyFill="1" applyBorder="1" applyAlignment="1">
      <alignment horizontal="center" vertical="center" wrapText="1"/>
    </xf>
    <xf numFmtId="43" fontId="29" fillId="0" borderId="10" xfId="1" applyFont="1" applyBorder="1" applyAlignment="1">
      <alignment horizontal="center" vertical="center"/>
    </xf>
    <xf numFmtId="43" fontId="29" fillId="0" borderId="11" xfId="1" applyFont="1" applyBorder="1" applyAlignment="1">
      <alignment horizontal="center" vertical="center"/>
    </xf>
    <xf numFmtId="43" fontId="29" fillId="0" borderId="12" xfId="1" applyFont="1" applyBorder="1" applyAlignment="1">
      <alignment horizontal="center" vertical="center"/>
    </xf>
    <xf numFmtId="43" fontId="28" fillId="0" borderId="66" xfId="1" applyFont="1" applyFill="1" applyBorder="1" applyAlignment="1">
      <alignment horizontal="center" vertical="center" wrapText="1"/>
    </xf>
    <xf numFmtId="43" fontId="49" fillId="3" borderId="9" xfId="1" applyFont="1" applyFill="1" applyBorder="1" applyAlignment="1">
      <alignment horizontal="center" vertical="center"/>
    </xf>
    <xf numFmtId="43" fontId="49" fillId="0" borderId="12" xfId="1" applyFont="1" applyBorder="1" applyAlignment="1">
      <alignment horizontal="center" vertical="center"/>
    </xf>
    <xf numFmtId="4" fontId="3" fillId="13" borderId="10" xfId="0" applyNumberFormat="1" applyFont="1" applyFill="1" applyBorder="1" applyAlignment="1">
      <alignment horizontal="center" vertical="center"/>
    </xf>
    <xf numFmtId="4" fontId="3" fillId="13" borderId="11" xfId="0" applyNumberFormat="1" applyFont="1" applyFill="1" applyBorder="1" applyAlignment="1">
      <alignment horizontal="center" vertical="center"/>
    </xf>
    <xf numFmtId="4" fontId="3" fillId="13" borderId="12" xfId="0" applyNumberFormat="1" applyFont="1" applyFill="1" applyBorder="1" applyAlignment="1">
      <alignment horizontal="center" vertical="center"/>
    </xf>
    <xf numFmtId="165" fontId="49" fillId="3" borderId="13" xfId="1" applyNumberFormat="1" applyFont="1" applyFill="1" applyBorder="1" applyAlignment="1">
      <alignment horizontal="center" vertical="center" wrapText="1"/>
    </xf>
    <xf numFmtId="165" fontId="49" fillId="3" borderId="14" xfId="1" applyNumberFormat="1" applyFont="1" applyFill="1" applyBorder="1" applyAlignment="1">
      <alignment horizontal="center" vertical="center" wrapText="1"/>
    </xf>
    <xf numFmtId="165" fontId="49" fillId="3" borderId="15" xfId="1" applyNumberFormat="1" applyFont="1" applyFill="1" applyBorder="1" applyAlignment="1">
      <alignment horizontal="center" vertical="center" wrapText="1"/>
    </xf>
    <xf numFmtId="4" fontId="3" fillId="0" borderId="10" xfId="0" applyNumberFormat="1" applyFont="1" applyBorder="1" applyAlignment="1">
      <alignment horizontal="center" vertical="center"/>
    </xf>
    <xf numFmtId="4" fontId="3" fillId="0" borderId="11" xfId="0" applyNumberFormat="1" applyFont="1" applyBorder="1" applyAlignment="1">
      <alignment horizontal="center" vertical="center"/>
    </xf>
    <xf numFmtId="4" fontId="3" fillId="0" borderId="12" xfId="0" applyNumberFormat="1" applyFont="1" applyBorder="1" applyAlignment="1">
      <alignment horizontal="center" vertical="center"/>
    </xf>
    <xf numFmtId="43" fontId="3" fillId="0" borderId="29" xfId="1" applyFont="1" applyBorder="1" applyAlignment="1">
      <alignment horizontal="center" vertical="center"/>
    </xf>
    <xf numFmtId="43" fontId="3" fillId="0" borderId="50" xfId="1" applyFont="1" applyBorder="1" applyAlignment="1">
      <alignment horizontal="center" vertical="center"/>
    </xf>
    <xf numFmtId="43" fontId="3" fillId="0" borderId="4" xfId="1" applyFont="1" applyBorder="1" applyAlignment="1">
      <alignment horizontal="center" vertical="center"/>
    </xf>
    <xf numFmtId="43" fontId="3" fillId="0" borderId="25" xfId="1" applyFont="1" applyBorder="1" applyAlignment="1">
      <alignment horizontal="center" vertical="center"/>
    </xf>
    <xf numFmtId="43" fontId="3" fillId="0" borderId="5" xfId="1" applyFont="1" applyBorder="1" applyAlignment="1">
      <alignment horizontal="center" vertical="center"/>
    </xf>
    <xf numFmtId="43" fontId="16" fillId="0" borderId="4" xfId="0" applyNumberFormat="1" applyFont="1" applyFill="1" applyBorder="1" applyAlignment="1">
      <alignment horizontal="center" vertical="center" wrapText="1"/>
    </xf>
    <xf numFmtId="43" fontId="16" fillId="0" borderId="25" xfId="0" applyNumberFormat="1" applyFont="1" applyFill="1" applyBorder="1" applyAlignment="1">
      <alignment horizontal="center" vertical="center" wrapText="1"/>
    </xf>
    <xf numFmtId="43" fontId="16" fillId="0" borderId="5" xfId="0" applyNumberFormat="1" applyFont="1" applyFill="1" applyBorder="1" applyAlignment="1">
      <alignment horizontal="center" vertical="center" wrapText="1"/>
    </xf>
    <xf numFmtId="43" fontId="8" fillId="0" borderId="4" xfId="0" applyNumberFormat="1" applyFont="1" applyBorder="1" applyAlignment="1">
      <alignment horizontal="center" vertical="center"/>
    </xf>
    <xf numFmtId="43" fontId="8" fillId="0" borderId="25" xfId="0" applyNumberFormat="1" applyFont="1" applyBorder="1" applyAlignment="1">
      <alignment horizontal="center" vertical="center"/>
    </xf>
    <xf numFmtId="43" fontId="8" fillId="0" borderId="5" xfId="0" applyNumberFormat="1" applyFont="1" applyBorder="1" applyAlignment="1">
      <alignment horizontal="center" vertical="center"/>
    </xf>
    <xf numFmtId="43" fontId="53" fillId="0" borderId="4" xfId="1" applyFont="1" applyBorder="1" applyAlignment="1">
      <alignment horizontal="center" vertical="center"/>
    </xf>
    <xf numFmtId="43" fontId="53" fillId="0" borderId="25" xfId="1" applyFont="1" applyBorder="1" applyAlignment="1">
      <alignment horizontal="center" vertical="center"/>
    </xf>
    <xf numFmtId="43" fontId="53" fillId="0" borderId="5" xfId="1" applyFont="1" applyBorder="1" applyAlignment="1">
      <alignment horizontal="center" vertical="center"/>
    </xf>
    <xf numFmtId="43" fontId="16" fillId="0" borderId="4" xfId="1" applyFont="1" applyBorder="1" applyAlignment="1">
      <alignment horizontal="center" vertical="center"/>
    </xf>
    <xf numFmtId="43" fontId="16" fillId="0" borderId="25" xfId="1" applyFont="1" applyBorder="1" applyAlignment="1">
      <alignment horizontal="center" vertical="center"/>
    </xf>
    <xf numFmtId="43" fontId="16" fillId="0" borderId="5" xfId="1" applyFont="1" applyBorder="1" applyAlignment="1">
      <alignment horizontal="center" vertical="center"/>
    </xf>
    <xf numFmtId="0" fontId="8" fillId="3" borderId="3" xfId="0" applyFont="1" applyFill="1" applyBorder="1" applyAlignment="1">
      <alignment horizontal="center" vertical="center" wrapText="1"/>
    </xf>
    <xf numFmtId="43" fontId="8" fillId="3" borderId="4" xfId="1" applyFont="1" applyFill="1" applyBorder="1" applyAlignment="1">
      <alignment horizontal="center" vertical="center" wrapText="1"/>
    </xf>
    <xf numFmtId="43" fontId="8" fillId="3" borderId="25" xfId="1" applyFont="1" applyFill="1" applyBorder="1" applyAlignment="1">
      <alignment horizontal="center" vertical="center" wrapText="1"/>
    </xf>
    <xf numFmtId="43" fontId="8" fillId="3" borderId="5" xfId="1" applyFont="1" applyFill="1" applyBorder="1" applyAlignment="1">
      <alignment horizontal="center" vertical="center" wrapText="1"/>
    </xf>
    <xf numFmtId="43" fontId="1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8" fillId="3" borderId="4" xfId="0" applyFont="1" applyFill="1" applyBorder="1" applyAlignment="1">
      <alignment vertical="center" wrapText="1"/>
    </xf>
    <xf numFmtId="0" fontId="8" fillId="3" borderId="25" xfId="0" applyFont="1" applyFill="1" applyBorder="1" applyAlignment="1">
      <alignment vertical="center" wrapText="1"/>
    </xf>
    <xf numFmtId="0" fontId="8" fillId="3" borderId="5" xfId="0" applyFont="1" applyFill="1" applyBorder="1" applyAlignment="1">
      <alignment vertical="center" wrapText="1"/>
    </xf>
    <xf numFmtId="0" fontId="8" fillId="3" borderId="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5" xfId="0" applyFont="1" applyFill="1" applyBorder="1" applyAlignment="1">
      <alignment horizontal="center" vertical="center" wrapText="1"/>
    </xf>
    <xf numFmtId="43" fontId="8" fillId="3" borderId="30" xfId="1" applyFont="1" applyFill="1" applyBorder="1" applyAlignment="1">
      <alignment horizontal="center" vertical="center"/>
    </xf>
    <xf numFmtId="43" fontId="8" fillId="3" borderId="0" xfId="1" applyFont="1" applyFill="1" applyBorder="1" applyAlignment="1">
      <alignment horizontal="center" vertical="center"/>
    </xf>
    <xf numFmtId="43" fontId="8" fillId="3" borderId="33" xfId="1" applyFont="1" applyFill="1" applyBorder="1" applyAlignment="1">
      <alignment horizontal="center" vertical="center"/>
    </xf>
    <xf numFmtId="166" fontId="16" fillId="3" borderId="4" xfId="0" applyNumberFormat="1" applyFont="1" applyFill="1" applyBorder="1" applyAlignment="1">
      <alignment horizontal="center" vertical="center" wrapText="1"/>
    </xf>
    <xf numFmtId="166" fontId="16" fillId="3" borderId="25" xfId="0" applyNumberFormat="1" applyFont="1" applyFill="1" applyBorder="1" applyAlignment="1">
      <alignment horizontal="center" vertical="center" wrapText="1"/>
    </xf>
    <xf numFmtId="166" fontId="16" fillId="3" borderId="5" xfId="0" applyNumberFormat="1" applyFont="1" applyFill="1" applyBorder="1" applyAlignment="1">
      <alignment horizontal="center" vertical="center" wrapText="1"/>
    </xf>
    <xf numFmtId="43" fontId="9" fillId="0" borderId="4" xfId="1" applyFont="1" applyFill="1" applyBorder="1" applyAlignment="1">
      <alignment horizontal="center" vertical="center"/>
    </xf>
    <xf numFmtId="43" fontId="9" fillId="0" borderId="25" xfId="1" applyFont="1" applyFill="1" applyBorder="1" applyAlignment="1">
      <alignment horizontal="center" vertical="center"/>
    </xf>
    <xf numFmtId="43" fontId="9" fillId="0" borderId="5" xfId="1" applyFont="1" applyFill="1" applyBorder="1" applyAlignment="1">
      <alignment horizontal="center" vertical="center"/>
    </xf>
    <xf numFmtId="49" fontId="14" fillId="9" borderId="27" xfId="0" applyNumberFormat="1" applyFont="1" applyFill="1" applyBorder="1" applyAlignment="1">
      <alignment horizontal="left" vertical="center"/>
    </xf>
    <xf numFmtId="49" fontId="14" fillId="9" borderId="28" xfId="0" applyNumberFormat="1" applyFont="1" applyFill="1" applyBorder="1" applyAlignment="1">
      <alignment horizontal="left" vertical="center"/>
    </xf>
    <xf numFmtId="49" fontId="14" fillId="10" borderId="29" xfId="0" applyNumberFormat="1" applyFont="1" applyFill="1" applyBorder="1" applyAlignment="1" applyProtection="1">
      <alignment horizontal="left" vertical="center"/>
      <protection locked="0"/>
    </xf>
    <xf numFmtId="49" fontId="14" fillId="10" borderId="30" xfId="0" applyNumberFormat="1" applyFont="1" applyFill="1" applyBorder="1" applyAlignment="1" applyProtection="1">
      <alignment horizontal="left" vertical="center"/>
      <protection locked="0"/>
    </xf>
    <xf numFmtId="49" fontId="14" fillId="9" borderId="31" xfId="0" applyNumberFormat="1" applyFont="1" applyFill="1" applyBorder="1" applyAlignment="1">
      <alignment horizontal="left" vertical="center"/>
    </xf>
    <xf numFmtId="49" fontId="14" fillId="10" borderId="27" xfId="0" applyNumberFormat="1" applyFont="1" applyFill="1" applyBorder="1" applyAlignment="1" applyProtection="1">
      <alignment horizontal="left" vertical="center"/>
      <protection locked="0"/>
    </xf>
    <xf numFmtId="49" fontId="14" fillId="10" borderId="31" xfId="0" applyNumberFormat="1" applyFont="1" applyFill="1" applyBorder="1" applyAlignment="1" applyProtection="1">
      <alignment horizontal="left" vertical="center"/>
      <protection locked="0"/>
    </xf>
    <xf numFmtId="49" fontId="14" fillId="10" borderId="27" xfId="0" applyNumberFormat="1" applyFont="1" applyFill="1" applyBorder="1" applyAlignment="1" applyProtection="1">
      <alignment horizontal="left" vertical="top" wrapText="1"/>
      <protection locked="0"/>
    </xf>
    <xf numFmtId="49" fontId="14" fillId="10" borderId="31" xfId="0" applyNumberFormat="1" applyFont="1" applyFill="1" applyBorder="1" applyAlignment="1" applyProtection="1">
      <alignment horizontal="left" vertical="top" wrapText="1"/>
      <protection locked="0"/>
    </xf>
    <xf numFmtId="49" fontId="14" fillId="10" borderId="27" xfId="0" applyNumberFormat="1" applyFont="1" applyFill="1" applyBorder="1" applyAlignment="1" applyProtection="1">
      <alignment horizontal="left" vertical="center" wrapText="1"/>
      <protection locked="0"/>
    </xf>
    <xf numFmtId="49" fontId="14" fillId="10" borderId="31" xfId="0" applyNumberFormat="1" applyFont="1" applyFill="1" applyBorder="1" applyAlignment="1" applyProtection="1">
      <alignment horizontal="left" vertical="center" wrapText="1"/>
      <protection locked="0"/>
    </xf>
    <xf numFmtId="49" fontId="14" fillId="10" borderId="3" xfId="0" applyNumberFormat="1" applyFont="1" applyFill="1" applyBorder="1" applyAlignment="1" applyProtection="1">
      <alignment horizontal="left" vertical="center" wrapText="1"/>
      <protection locked="0"/>
    </xf>
    <xf numFmtId="49" fontId="14" fillId="10" borderId="27" xfId="0" applyNumberFormat="1" applyFont="1" applyFill="1" applyBorder="1" applyAlignment="1" applyProtection="1">
      <alignment horizontal="center" vertical="center" wrapText="1"/>
      <protection locked="0"/>
    </xf>
    <xf numFmtId="49" fontId="14" fillId="10" borderId="31" xfId="0" applyNumberFormat="1" applyFont="1" applyFill="1" applyBorder="1" applyAlignment="1" applyProtection="1">
      <alignment horizontal="center" vertical="center" wrapText="1"/>
      <protection locked="0"/>
    </xf>
    <xf numFmtId="49" fontId="14" fillId="6" borderId="31" xfId="0" applyNumberFormat="1" applyFont="1" applyFill="1" applyBorder="1" applyAlignment="1">
      <alignment vertical="center"/>
    </xf>
    <xf numFmtId="49" fontId="14" fillId="6" borderId="32" xfId="0" applyNumberFormat="1" applyFont="1" applyFill="1" applyBorder="1" applyAlignment="1">
      <alignment vertical="center"/>
    </xf>
    <xf numFmtId="49" fontId="15" fillId="6" borderId="27" xfId="0" applyNumberFormat="1" applyFont="1" applyFill="1" applyBorder="1" applyAlignment="1" applyProtection="1">
      <alignment horizontal="center"/>
      <protection locked="0"/>
    </xf>
    <xf numFmtId="49" fontId="15" fillId="6" borderId="31" xfId="0" applyNumberFormat="1" applyFont="1" applyFill="1" applyBorder="1" applyAlignment="1" applyProtection="1">
      <alignment horizontal="center"/>
      <protection locked="0"/>
    </xf>
    <xf numFmtId="49" fontId="15" fillId="6" borderId="31" xfId="0" applyNumberFormat="1" applyFont="1" applyFill="1" applyBorder="1" applyAlignment="1">
      <alignment horizontal="center"/>
    </xf>
    <xf numFmtId="49" fontId="15" fillId="6" borderId="33" xfId="0" applyNumberFormat="1" applyFont="1" applyFill="1" applyBorder="1" applyAlignment="1">
      <alignment horizontal="center"/>
    </xf>
    <xf numFmtId="0" fontId="16" fillId="6" borderId="19" xfId="0" applyFont="1" applyFill="1" applyBorder="1" applyAlignment="1">
      <alignment horizontal="center"/>
    </xf>
    <xf numFmtId="49" fontId="18" fillId="38" borderId="36" xfId="0" applyNumberFormat="1" applyFont="1" applyFill="1" applyBorder="1" applyAlignment="1">
      <alignment horizontal="center" vertical="center"/>
    </xf>
    <xf numFmtId="49" fontId="18" fillId="38" borderId="35" xfId="0" applyNumberFormat="1" applyFont="1" applyFill="1" applyBorder="1" applyAlignment="1">
      <alignment horizontal="center" vertical="center"/>
    </xf>
    <xf numFmtId="49" fontId="18" fillId="38" borderId="37" xfId="0" applyNumberFormat="1" applyFont="1" applyFill="1" applyBorder="1" applyAlignment="1">
      <alignment horizontal="center" vertical="center"/>
    </xf>
    <xf numFmtId="49" fontId="18" fillId="38" borderId="39" xfId="0" applyNumberFormat="1" applyFont="1" applyFill="1" applyBorder="1" applyAlignment="1">
      <alignment horizontal="center" vertical="center"/>
    </xf>
    <xf numFmtId="49" fontId="18" fillId="38" borderId="36" xfId="0" applyNumberFormat="1" applyFont="1" applyFill="1" applyBorder="1" applyAlignment="1">
      <alignment horizontal="center" vertical="center" wrapText="1"/>
    </xf>
    <xf numFmtId="49" fontId="18" fillId="38" borderId="35" xfId="0" applyNumberFormat="1" applyFont="1" applyFill="1" applyBorder="1" applyAlignment="1">
      <alignment horizontal="center" vertical="center" wrapText="1"/>
    </xf>
    <xf numFmtId="49" fontId="18" fillId="38" borderId="27" xfId="0" applyNumberFormat="1" applyFont="1" applyFill="1" applyBorder="1" applyAlignment="1">
      <alignment horizontal="center" vertical="center" wrapText="1"/>
    </xf>
    <xf numFmtId="49" fontId="18" fillId="38" borderId="31" xfId="0" applyNumberFormat="1" applyFont="1" applyFill="1" applyBorder="1" applyAlignment="1">
      <alignment horizontal="center" vertical="center" wrapText="1"/>
    </xf>
    <xf numFmtId="49" fontId="18" fillId="38" borderId="28" xfId="0" applyNumberFormat="1" applyFont="1" applyFill="1" applyBorder="1" applyAlignment="1">
      <alignment horizontal="center" vertical="center" wrapText="1"/>
    </xf>
    <xf numFmtId="0" fontId="18" fillId="38" borderId="49" xfId="0" applyNumberFormat="1" applyFont="1" applyFill="1" applyBorder="1" applyAlignment="1">
      <alignment horizontal="center" vertical="center" wrapText="1"/>
    </xf>
    <xf numFmtId="0" fontId="18" fillId="38" borderId="46" xfId="0" applyNumberFormat="1" applyFont="1" applyFill="1" applyBorder="1" applyAlignment="1">
      <alignment horizontal="center" vertical="center" wrapText="1"/>
    </xf>
    <xf numFmtId="49" fontId="18" fillId="38" borderId="4" xfId="0" applyNumberFormat="1" applyFont="1" applyFill="1" applyBorder="1" applyAlignment="1">
      <alignment horizontal="center" vertical="center"/>
    </xf>
    <xf numFmtId="49" fontId="18" fillId="38" borderId="5" xfId="0" applyNumberFormat="1" applyFont="1" applyFill="1" applyBorder="1" applyAlignment="1">
      <alignment horizontal="center" vertical="center"/>
    </xf>
    <xf numFmtId="0" fontId="16" fillId="0" borderId="4" xfId="0" applyFont="1" applyBorder="1" applyAlignment="1">
      <alignment horizontal="center"/>
    </xf>
    <xf numFmtId="0" fontId="16" fillId="0" borderId="25" xfId="0" applyFont="1" applyBorder="1" applyAlignment="1">
      <alignment horizontal="center"/>
    </xf>
    <xf numFmtId="0" fontId="16" fillId="0" borderId="5" xfId="0" applyFont="1" applyBorder="1" applyAlignment="1">
      <alignment horizontal="center"/>
    </xf>
    <xf numFmtId="43" fontId="8" fillId="0" borderId="29" xfId="0" applyNumberFormat="1" applyFont="1" applyBorder="1" applyAlignment="1">
      <alignment horizontal="center" vertical="center"/>
    </xf>
    <xf numFmtId="43" fontId="8" fillId="0" borderId="50" xfId="0" applyNumberFormat="1" applyFont="1" applyBorder="1" applyAlignment="1">
      <alignment horizontal="center" vertical="center"/>
    </xf>
    <xf numFmtId="43" fontId="37" fillId="0" borderId="3" xfId="1" applyFont="1" applyFill="1" applyBorder="1" applyAlignment="1" applyProtection="1">
      <alignment horizontal="center" vertical="center"/>
      <protection locked="0"/>
    </xf>
    <xf numFmtId="43" fontId="37" fillId="0" borderId="4" xfId="1" applyFont="1" applyFill="1" applyBorder="1" applyAlignment="1" applyProtection="1">
      <alignment horizontal="center" vertical="center"/>
      <protection locked="0"/>
    </xf>
    <xf numFmtId="43" fontId="37" fillId="0" borderId="25" xfId="1" applyFont="1" applyFill="1" applyBorder="1" applyAlignment="1" applyProtection="1">
      <alignment horizontal="center" vertical="center"/>
      <protection locked="0"/>
    </xf>
    <xf numFmtId="43" fontId="37" fillId="0" borderId="5" xfId="1" applyFont="1" applyFill="1" applyBorder="1" applyAlignment="1" applyProtection="1">
      <alignment horizontal="center" vertical="center"/>
      <protection locked="0"/>
    </xf>
    <xf numFmtId="49" fontId="37" fillId="9" borderId="31" xfId="0" applyNumberFormat="1" applyFont="1" applyFill="1" applyBorder="1" applyAlignment="1">
      <alignment horizontal="left" vertical="center"/>
    </xf>
    <xf numFmtId="49" fontId="37" fillId="9" borderId="28" xfId="0" applyNumberFormat="1" applyFont="1" applyFill="1" applyBorder="1" applyAlignment="1">
      <alignment horizontal="left" vertical="center"/>
    </xf>
    <xf numFmtId="49" fontId="37" fillId="10" borderId="3" xfId="0" applyNumberFormat="1" applyFont="1" applyFill="1" applyBorder="1" applyAlignment="1" applyProtection="1">
      <alignment horizontal="left" vertical="center" wrapText="1"/>
      <protection locked="0"/>
    </xf>
    <xf numFmtId="49" fontId="37" fillId="5" borderId="36" xfId="0" applyNumberFormat="1" applyFont="1" applyFill="1" applyBorder="1" applyAlignment="1">
      <alignment horizontal="center" vertical="center"/>
    </xf>
    <xf numFmtId="49" fontId="37" fillId="5" borderId="37" xfId="0" applyNumberFormat="1" applyFont="1" applyFill="1" applyBorder="1" applyAlignment="1">
      <alignment horizontal="center" vertical="center"/>
    </xf>
    <xf numFmtId="49" fontId="37" fillId="5" borderId="35" xfId="0" applyNumberFormat="1" applyFont="1" applyFill="1" applyBorder="1" applyAlignment="1">
      <alignment horizontal="center" vertical="center"/>
    </xf>
    <xf numFmtId="49" fontId="37" fillId="5" borderId="39" xfId="0" applyNumberFormat="1" applyFont="1" applyFill="1" applyBorder="1" applyAlignment="1">
      <alignment horizontal="center" vertical="center"/>
    </xf>
    <xf numFmtId="49" fontId="37" fillId="5" borderId="31" xfId="0" applyNumberFormat="1" applyFont="1" applyFill="1" applyBorder="1" applyAlignment="1">
      <alignment horizontal="center" vertical="center" wrapText="1"/>
    </xf>
    <xf numFmtId="49" fontId="37" fillId="5" borderId="28" xfId="0" applyNumberFormat="1" applyFont="1" applyFill="1" applyBorder="1" applyAlignment="1">
      <alignment horizontal="center" vertical="center" wrapText="1"/>
    </xf>
    <xf numFmtId="43" fontId="37" fillId="5" borderId="4" xfId="1" applyFont="1" applyFill="1" applyBorder="1" applyAlignment="1">
      <alignment horizontal="center" vertical="center" wrapText="1"/>
    </xf>
    <xf numFmtId="43" fontId="37" fillId="5" borderId="25" xfId="1" applyFont="1" applyFill="1" applyBorder="1" applyAlignment="1">
      <alignment horizontal="center" vertical="center" wrapText="1"/>
    </xf>
    <xf numFmtId="0" fontId="37" fillId="5" borderId="29" xfId="0" applyFont="1" applyFill="1" applyBorder="1" applyAlignment="1">
      <alignment horizontal="center" vertical="center" wrapText="1"/>
    </xf>
    <xf numFmtId="0" fontId="37" fillId="5" borderId="30" xfId="0" applyFont="1" applyFill="1" applyBorder="1" applyAlignment="1">
      <alignment horizontal="center" vertical="center" wrapText="1"/>
    </xf>
    <xf numFmtId="0" fontId="37" fillId="5" borderId="32" xfId="0" applyFont="1" applyFill="1" applyBorder="1" applyAlignment="1">
      <alignment horizontal="center" vertical="center" wrapText="1"/>
    </xf>
    <xf numFmtId="0" fontId="37" fillId="5" borderId="50" xfId="0" applyFont="1" applyFill="1" applyBorder="1" applyAlignment="1">
      <alignment horizontal="center" vertical="center" wrapText="1"/>
    </xf>
    <xf numFmtId="0" fontId="37" fillId="5" borderId="0" xfId="0" applyFont="1" applyFill="1" applyBorder="1" applyAlignment="1">
      <alignment horizontal="center" vertical="center" wrapText="1"/>
    </xf>
    <xf numFmtId="0" fontId="37" fillId="5" borderId="44" xfId="0" applyFont="1" applyFill="1" applyBorder="1" applyAlignment="1">
      <alignment horizontal="center" vertical="center" wrapText="1"/>
    </xf>
    <xf numFmtId="0" fontId="37" fillId="5" borderId="60" xfId="0" applyFont="1" applyFill="1" applyBorder="1" applyAlignment="1">
      <alignment horizontal="center" vertical="center" wrapText="1"/>
    </xf>
    <xf numFmtId="0" fontId="37" fillId="5" borderId="33" xfId="0" applyFont="1" applyFill="1" applyBorder="1" applyAlignment="1">
      <alignment horizontal="center" vertical="center" wrapText="1"/>
    </xf>
    <xf numFmtId="0" fontId="37" fillId="5" borderId="47" xfId="0" applyFont="1" applyFill="1" applyBorder="1" applyAlignment="1">
      <alignment horizontal="center" vertical="center" wrapText="1"/>
    </xf>
    <xf numFmtId="49" fontId="37" fillId="10" borderId="3" xfId="0" applyNumberFormat="1" applyFont="1" applyFill="1" applyBorder="1" applyAlignment="1" applyProtection="1">
      <alignment horizontal="center" vertical="center" wrapText="1"/>
      <protection locked="0"/>
    </xf>
    <xf numFmtId="49" fontId="37" fillId="6" borderId="31" xfId="0" applyNumberFormat="1" applyFont="1" applyFill="1" applyBorder="1" applyAlignment="1">
      <alignment vertical="center"/>
    </xf>
    <xf numFmtId="49" fontId="37" fillId="6" borderId="28" xfId="0" applyNumberFormat="1" applyFont="1" applyFill="1" applyBorder="1" applyAlignment="1">
      <alignment vertical="center"/>
    </xf>
    <xf numFmtId="49" fontId="37" fillId="6" borderId="27" xfId="0" applyNumberFormat="1" applyFont="1" applyFill="1" applyBorder="1" applyAlignment="1" applyProtection="1">
      <alignment horizontal="center"/>
      <protection locked="0"/>
    </xf>
    <xf numFmtId="49" fontId="37" fillId="6" borderId="31" xfId="0" applyNumberFormat="1" applyFont="1" applyFill="1" applyBorder="1" applyAlignment="1" applyProtection="1">
      <alignment horizontal="center"/>
      <protection locked="0"/>
    </xf>
    <xf numFmtId="49" fontId="37" fillId="6" borderId="31" xfId="0" applyNumberFormat="1" applyFont="1" applyFill="1" applyBorder="1" applyAlignment="1">
      <alignment horizontal="center"/>
    </xf>
    <xf numFmtId="49" fontId="37" fillId="6" borderId="33" xfId="0" applyNumberFormat="1" applyFont="1" applyFill="1" applyBorder="1" applyAlignment="1">
      <alignment horizontal="center"/>
    </xf>
    <xf numFmtId="49" fontId="37" fillId="5" borderId="34" xfId="0" applyNumberFormat="1" applyFont="1" applyFill="1" applyBorder="1" applyAlignment="1">
      <alignment horizontal="center" vertical="center"/>
    </xf>
    <xf numFmtId="0" fontId="37" fillId="5" borderId="35" xfId="0" applyFont="1" applyFill="1" applyBorder="1" applyAlignment="1">
      <alignment horizontal="center" vertical="center"/>
    </xf>
    <xf numFmtId="49" fontId="37" fillId="5" borderId="36" xfId="0" applyNumberFormat="1" applyFont="1" applyFill="1" applyBorder="1" applyAlignment="1" applyProtection="1">
      <alignment horizontal="center" vertical="center"/>
      <protection locked="0"/>
    </xf>
    <xf numFmtId="49" fontId="37" fillId="5" borderId="35" xfId="0" applyNumberFormat="1" applyFont="1" applyFill="1" applyBorder="1" applyAlignment="1" applyProtection="1">
      <alignment horizontal="center" vertical="center"/>
      <protection locked="0"/>
    </xf>
    <xf numFmtId="49" fontId="37" fillId="5" borderId="38" xfId="0" applyNumberFormat="1" applyFont="1" applyFill="1" applyBorder="1" applyAlignment="1">
      <alignment horizontal="center" vertical="center" wrapText="1"/>
    </xf>
    <xf numFmtId="49" fontId="37" fillId="5" borderId="37" xfId="0" applyNumberFormat="1" applyFont="1" applyFill="1" applyBorder="1" applyAlignment="1">
      <alignment horizontal="center" vertical="center" wrapText="1"/>
    </xf>
    <xf numFmtId="49" fontId="37" fillId="5" borderId="35" xfId="0" applyNumberFormat="1" applyFont="1" applyFill="1" applyBorder="1" applyAlignment="1">
      <alignment horizontal="center" vertical="center" wrapText="1"/>
    </xf>
    <xf numFmtId="49" fontId="37" fillId="5" borderId="38" xfId="0" applyNumberFormat="1" applyFont="1" applyFill="1" applyBorder="1" applyAlignment="1">
      <alignment horizontal="center" vertical="center"/>
    </xf>
    <xf numFmtId="49" fontId="37" fillId="9" borderId="27" xfId="0" applyNumberFormat="1" applyFont="1" applyFill="1" applyBorder="1" applyAlignment="1">
      <alignment horizontal="left" vertical="center"/>
    </xf>
    <xf numFmtId="49" fontId="37" fillId="10" borderId="27" xfId="0" applyNumberFormat="1" applyFont="1" applyFill="1" applyBorder="1" applyAlignment="1" applyProtection="1">
      <alignment horizontal="left" vertical="center"/>
      <protection locked="0"/>
    </xf>
    <xf numFmtId="49" fontId="37" fillId="10" borderId="31" xfId="0" applyNumberFormat="1" applyFont="1" applyFill="1" applyBorder="1" applyAlignment="1" applyProtection="1">
      <alignment horizontal="left" vertical="center"/>
      <protection locked="0"/>
    </xf>
    <xf numFmtId="49" fontId="37" fillId="10" borderId="3" xfId="0" applyNumberFormat="1" applyFont="1" applyFill="1" applyBorder="1" applyAlignment="1" applyProtection="1">
      <alignment horizontal="left" vertical="center"/>
      <protection locked="0"/>
    </xf>
    <xf numFmtId="43" fontId="37" fillId="0" borderId="3" xfId="1" applyFont="1" applyFill="1" applyBorder="1" applyAlignment="1" applyProtection="1">
      <alignment horizontal="left" vertical="center"/>
      <protection locked="0"/>
    </xf>
    <xf numFmtId="1" fontId="37" fillId="0" borderId="3" xfId="1" applyNumberFormat="1" applyFont="1" applyFill="1" applyBorder="1" applyAlignment="1" applyProtection="1">
      <alignment horizontal="center" vertical="center"/>
      <protection locked="0"/>
    </xf>
    <xf numFmtId="43" fontId="37" fillId="0" borderId="4" xfId="1" applyFont="1" applyFill="1" applyBorder="1" applyAlignment="1" applyProtection="1">
      <alignment horizontal="center" vertical="center" wrapText="1"/>
      <protection locked="0"/>
    </xf>
    <xf numFmtId="43" fontId="37" fillId="0" borderId="25" xfId="1" applyFont="1" applyFill="1" applyBorder="1" applyAlignment="1" applyProtection="1">
      <alignment horizontal="center" vertical="center" wrapText="1"/>
      <protection locked="0"/>
    </xf>
    <xf numFmtId="43" fontId="37" fillId="0" borderId="5" xfId="1" applyFont="1" applyFill="1" applyBorder="1" applyAlignment="1" applyProtection="1">
      <alignment horizontal="center" vertical="center" wrapText="1"/>
      <protection locked="0"/>
    </xf>
    <xf numFmtId="43" fontId="37" fillId="0" borderId="4" xfId="1" applyFont="1" applyFill="1" applyBorder="1" applyAlignment="1" applyProtection="1">
      <alignment horizontal="left" vertical="center" wrapText="1"/>
      <protection locked="0"/>
    </xf>
    <xf numFmtId="43" fontId="37" fillId="0" borderId="25" xfId="1" applyFont="1" applyFill="1" applyBorder="1" applyAlignment="1" applyProtection="1">
      <alignment horizontal="left" vertical="center" wrapText="1"/>
      <protection locked="0"/>
    </xf>
    <xf numFmtId="43" fontId="37" fillId="0" borderId="5" xfId="1" applyFont="1" applyFill="1" applyBorder="1" applyAlignment="1" applyProtection="1">
      <alignment horizontal="left" vertical="center" wrapText="1"/>
      <protection locked="0"/>
    </xf>
    <xf numFmtId="0" fontId="3" fillId="3" borderId="3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0" xfId="0" applyFont="1" applyFill="1" applyBorder="1" applyAlignment="1">
      <alignment horizontal="center" vertical="center" wrapText="1"/>
    </xf>
    <xf numFmtId="164" fontId="49" fillId="3" borderId="8" xfId="1" applyNumberFormat="1" applyFont="1" applyFill="1" applyBorder="1" applyAlignment="1">
      <alignment horizontal="center" vertical="center" wrapText="1"/>
    </xf>
    <xf numFmtId="164" fontId="37" fillId="0" borderId="3" xfId="1" applyNumberFormat="1" applyFont="1" applyFill="1" applyBorder="1" applyAlignment="1" applyProtection="1">
      <alignment horizontal="center" vertical="center"/>
      <protection locked="0"/>
    </xf>
    <xf numFmtId="0" fontId="37" fillId="5" borderId="41" xfId="0" applyNumberFormat="1" applyFont="1" applyFill="1" applyBorder="1" applyAlignment="1">
      <alignment horizontal="center" vertical="center" wrapText="1"/>
    </xf>
    <xf numFmtId="0" fontId="37" fillId="5" borderId="43" xfId="0" applyNumberFormat="1" applyFont="1" applyFill="1" applyBorder="1" applyAlignment="1">
      <alignment horizontal="center" vertical="center" wrapText="1"/>
    </xf>
    <xf numFmtId="0" fontId="3" fillId="5" borderId="51" xfId="0" applyFont="1" applyFill="1" applyBorder="1" applyAlignment="1">
      <alignment vertical="center" wrapText="1"/>
    </xf>
    <xf numFmtId="0" fontId="3" fillId="5" borderId="26" xfId="0" applyFont="1" applyFill="1" applyBorder="1" applyAlignment="1">
      <alignment vertical="center" wrapText="1"/>
    </xf>
    <xf numFmtId="0" fontId="49" fillId="5" borderId="52" xfId="0" applyFont="1" applyFill="1" applyBorder="1" applyAlignment="1">
      <alignment horizontal="center"/>
    </xf>
    <xf numFmtId="0" fontId="49" fillId="5" borderId="24" xfId="0" applyFont="1" applyFill="1" applyBorder="1" applyAlignment="1">
      <alignment horizontal="center"/>
    </xf>
    <xf numFmtId="0" fontId="37" fillId="5" borderId="4" xfId="0" applyNumberFormat="1" applyFont="1" applyFill="1" applyBorder="1" applyAlignment="1">
      <alignment horizontal="center" vertical="center" wrapText="1"/>
    </xf>
    <xf numFmtId="0" fontId="37" fillId="5" borderId="25" xfId="0" applyNumberFormat="1" applyFont="1" applyFill="1" applyBorder="1" applyAlignment="1">
      <alignment horizontal="center" vertical="center" wrapText="1"/>
    </xf>
    <xf numFmtId="0" fontId="3" fillId="5" borderId="25" xfId="0" applyFont="1" applyFill="1" applyBorder="1" applyAlignment="1">
      <alignment horizontal="center" vertical="center" wrapText="1"/>
    </xf>
    <xf numFmtId="49" fontId="37" fillId="5" borderId="4" xfId="0" applyNumberFormat="1" applyFont="1" applyFill="1" applyBorder="1" applyAlignment="1">
      <alignment horizontal="center" vertical="center" wrapText="1"/>
    </xf>
    <xf numFmtId="49" fontId="37" fillId="5" borderId="25" xfId="0" applyNumberFormat="1" applyFont="1" applyFill="1" applyBorder="1" applyAlignment="1">
      <alignment horizontal="center" vertical="center" wrapText="1"/>
    </xf>
    <xf numFmtId="1" fontId="37" fillId="0" borderId="4" xfId="1" applyNumberFormat="1" applyFont="1" applyFill="1" applyBorder="1" applyAlignment="1" applyProtection="1">
      <alignment horizontal="center" vertical="center"/>
      <protection locked="0"/>
    </xf>
    <xf numFmtId="1" fontId="37" fillId="0" borderId="25" xfId="1" applyNumberFormat="1" applyFont="1" applyFill="1" applyBorder="1" applyAlignment="1" applyProtection="1">
      <alignment horizontal="center" vertical="center"/>
      <protection locked="0"/>
    </xf>
    <xf numFmtId="1" fontId="37" fillId="0" borderId="5" xfId="1" applyNumberFormat="1" applyFont="1" applyFill="1" applyBorder="1" applyAlignment="1" applyProtection="1">
      <alignment horizontal="center" vertical="center"/>
      <protection locked="0"/>
    </xf>
    <xf numFmtId="0" fontId="3" fillId="3" borderId="3" xfId="0" applyFont="1" applyFill="1" applyBorder="1" applyAlignment="1">
      <alignment horizontal="center" vertical="center" wrapText="1"/>
    </xf>
    <xf numFmtId="0" fontId="37" fillId="0" borderId="41" xfId="0" applyNumberFormat="1" applyFont="1" applyFill="1" applyBorder="1" applyAlignment="1">
      <alignment horizontal="center" vertical="center" wrapText="1"/>
    </xf>
    <xf numFmtId="0" fontId="37" fillId="0" borderId="43" xfId="0" applyNumberFormat="1" applyFont="1" applyFill="1" applyBorder="1" applyAlignment="1">
      <alignment horizontal="center" vertical="center" wrapText="1"/>
    </xf>
    <xf numFmtId="0" fontId="37" fillId="0" borderId="46"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49" fontId="37" fillId="0" borderId="25" xfId="0" applyNumberFormat="1" applyFont="1" applyFill="1" applyBorder="1" applyAlignment="1">
      <alignment horizontal="center" vertical="center" wrapText="1"/>
    </xf>
    <xf numFmtId="49" fontId="37" fillId="0" borderId="5" xfId="0" applyNumberFormat="1" applyFont="1" applyFill="1" applyBorder="1" applyAlignment="1">
      <alignment horizontal="center" vertical="center" wrapText="1"/>
    </xf>
    <xf numFmtId="0" fontId="49" fillId="14" borderId="3" xfId="0" applyFont="1" applyFill="1" applyBorder="1" applyAlignment="1">
      <alignment horizontal="center"/>
    </xf>
    <xf numFmtId="2" fontId="37" fillId="0" borderId="4" xfId="0" applyNumberFormat="1" applyFont="1" applyFill="1" applyBorder="1" applyAlignment="1">
      <alignment horizontal="center" vertical="center" wrapText="1"/>
    </xf>
    <xf numFmtId="2" fontId="37" fillId="0" borderId="25" xfId="0" applyNumberFormat="1" applyFont="1" applyFill="1" applyBorder="1" applyAlignment="1">
      <alignment horizontal="center" vertical="center" wrapText="1"/>
    </xf>
    <xf numFmtId="2" fontId="37" fillId="0" borderId="5" xfId="0" applyNumberFormat="1" applyFont="1" applyFill="1" applyBorder="1" applyAlignment="1">
      <alignment horizontal="center" vertical="center" wrapText="1"/>
    </xf>
    <xf numFmtId="0" fontId="37" fillId="0" borderId="4" xfId="0" applyNumberFormat="1" applyFont="1" applyFill="1" applyBorder="1" applyAlignment="1">
      <alignment horizontal="center" vertical="center" wrapText="1"/>
    </xf>
    <xf numFmtId="0" fontId="37" fillId="0" borderId="25" xfId="0" applyNumberFormat="1" applyFont="1" applyFill="1" applyBorder="1" applyAlignment="1">
      <alignment horizontal="center" vertical="center" wrapText="1"/>
    </xf>
    <xf numFmtId="0" fontId="37" fillId="0" borderId="5" xfId="0" applyNumberFormat="1" applyFont="1" applyFill="1" applyBorder="1" applyAlignment="1">
      <alignment horizontal="center" vertical="center" wrapText="1"/>
    </xf>
    <xf numFmtId="43" fontId="37" fillId="3" borderId="4" xfId="1" applyFont="1" applyFill="1" applyBorder="1" applyAlignment="1">
      <alignment horizontal="center" vertical="center" wrapText="1"/>
    </xf>
    <xf numFmtId="43" fontId="37" fillId="3" borderId="25" xfId="1" applyFont="1" applyFill="1" applyBorder="1" applyAlignment="1">
      <alignment horizontal="center" vertical="center" wrapText="1"/>
    </xf>
    <xf numFmtId="43" fontId="37" fillId="3" borderId="5" xfId="1" applyFont="1" applyFill="1" applyBorder="1" applyAlignment="1">
      <alignment horizontal="center" vertical="center" wrapText="1"/>
    </xf>
    <xf numFmtId="43" fontId="8" fillId="3" borderId="3" xfId="1" applyFont="1" applyFill="1" applyBorder="1" applyAlignment="1">
      <alignment horizontal="center" vertical="center" wrapText="1"/>
    </xf>
    <xf numFmtId="43" fontId="16" fillId="0" borderId="3" xfId="1" applyFont="1" applyFill="1" applyBorder="1" applyAlignment="1">
      <alignment horizontal="center" vertical="center"/>
    </xf>
    <xf numFmtId="43" fontId="8" fillId="3" borderId="9" xfId="1" applyFont="1" applyFill="1" applyBorder="1" applyAlignment="1">
      <alignment horizontal="center" vertical="center"/>
    </xf>
    <xf numFmtId="2" fontId="8" fillId="3" borderId="3" xfId="0" applyNumberFormat="1" applyFont="1" applyFill="1" applyBorder="1" applyAlignment="1">
      <alignment horizontal="center" vertical="center" wrapText="1"/>
    </xf>
    <xf numFmtId="0" fontId="6" fillId="21" borderId="42" xfId="0" applyFont="1" applyFill="1" applyBorder="1" applyAlignment="1">
      <alignment vertical="center" wrapText="1"/>
    </xf>
    <xf numFmtId="0" fontId="6" fillId="21" borderId="48" xfId="0" applyFont="1" applyFill="1" applyBorder="1" applyAlignment="1">
      <alignment vertical="center" wrapText="1"/>
    </xf>
    <xf numFmtId="0" fontId="6" fillId="21" borderId="17" xfId="0" applyFont="1" applyFill="1" applyBorder="1" applyAlignment="1">
      <alignment vertical="center" wrapText="1"/>
    </xf>
    <xf numFmtId="0" fontId="6" fillId="21" borderId="2" xfId="0" applyFont="1" applyFill="1" applyBorder="1" applyAlignment="1">
      <alignment vertical="center" wrapText="1"/>
    </xf>
    <xf numFmtId="0" fontId="6" fillId="0" borderId="42" xfId="0" applyFont="1" applyBorder="1" applyAlignment="1">
      <alignment vertical="center" wrapText="1"/>
    </xf>
    <xf numFmtId="0" fontId="6" fillId="0" borderId="48" xfId="0" applyFont="1" applyBorder="1" applyAlignment="1">
      <alignment vertical="center" wrapText="1"/>
    </xf>
    <xf numFmtId="0" fontId="3" fillId="0" borderId="42" xfId="0" applyFont="1" applyBorder="1" applyAlignment="1">
      <alignment vertical="center" wrapText="1"/>
    </xf>
    <xf numFmtId="0" fontId="3" fillId="0" borderId="48" xfId="0" applyFont="1" applyBorder="1" applyAlignment="1">
      <alignment vertical="center" wrapText="1"/>
    </xf>
    <xf numFmtId="0" fontId="43" fillId="21" borderId="27" xfId="0" applyFont="1" applyFill="1" applyBorder="1" applyAlignment="1">
      <alignment horizontal="center"/>
    </xf>
    <xf numFmtId="0" fontId="43" fillId="21" borderId="28" xfId="0" applyFont="1" applyFill="1" applyBorder="1" applyAlignment="1">
      <alignment horizontal="center"/>
    </xf>
    <xf numFmtId="0" fontId="12" fillId="21" borderId="20" xfId="0" applyFont="1" applyFill="1" applyBorder="1" applyAlignment="1">
      <alignment horizontal="left" vertical="top"/>
    </xf>
    <xf numFmtId="0" fontId="12" fillId="21" borderId="67" xfId="0" applyFont="1" applyFill="1" applyBorder="1" applyAlignment="1">
      <alignment horizontal="left" vertical="top"/>
    </xf>
    <xf numFmtId="43" fontId="43" fillId="21" borderId="31" xfId="1" applyFont="1" applyFill="1" applyBorder="1" applyAlignment="1">
      <alignment horizontal="center"/>
    </xf>
    <xf numFmtId="43" fontId="43" fillId="21" borderId="28" xfId="1" applyFont="1" applyFill="1" applyBorder="1" applyAlignment="1">
      <alignment horizontal="center"/>
    </xf>
    <xf numFmtId="43" fontId="43" fillId="21" borderId="31" xfId="1" applyFont="1" applyFill="1" applyBorder="1" applyAlignment="1">
      <alignment horizontal="center" wrapText="1"/>
    </xf>
    <xf numFmtId="43" fontId="43" fillId="21" borderId="28" xfId="1" applyFont="1" applyFill="1" applyBorder="1" applyAlignment="1">
      <alignment horizontal="center" wrapText="1"/>
    </xf>
    <xf numFmtId="0" fontId="14" fillId="15" borderId="28" xfId="0" applyFont="1" applyFill="1" applyBorder="1" applyAlignment="1">
      <alignment vertical="top" wrapText="1"/>
    </xf>
    <xf numFmtId="0" fontId="14" fillId="15" borderId="3" xfId="0" applyFont="1" applyFill="1" applyBorder="1" applyAlignment="1">
      <alignment vertical="top" wrapText="1"/>
    </xf>
    <xf numFmtId="0" fontId="61" fillId="0" borderId="27" xfId="0" applyFont="1" applyBorder="1" applyAlignment="1">
      <alignment horizontal="center" vertical="center"/>
    </xf>
    <xf numFmtId="0" fontId="61" fillId="0" borderId="31" xfId="0" applyFont="1" applyBorder="1" applyAlignment="1">
      <alignment horizontal="center" vertical="center"/>
    </xf>
    <xf numFmtId="0" fontId="61" fillId="0" borderId="28" xfId="0" applyFont="1" applyBorder="1" applyAlignment="1">
      <alignment horizontal="center" vertical="center"/>
    </xf>
    <xf numFmtId="0" fontId="24" fillId="21" borderId="4" xfId="0" applyFont="1" applyFill="1" applyBorder="1" applyAlignment="1">
      <alignment horizontal="center" vertical="top" wrapText="1"/>
    </xf>
    <xf numFmtId="0" fontId="24" fillId="21" borderId="5" xfId="0" applyFont="1" applyFill="1" applyBorder="1" applyAlignment="1">
      <alignment horizontal="center" vertical="top"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21" borderId="3" xfId="0" applyFont="1" applyFill="1" applyBorder="1" applyAlignment="1">
      <alignment horizontal="center" vertical="top" wrapText="1"/>
    </xf>
    <xf numFmtId="0" fontId="24" fillId="21" borderId="28" xfId="0" applyFont="1" applyFill="1" applyBorder="1" applyAlignment="1">
      <alignment horizontal="center" vertical="top" wrapText="1"/>
    </xf>
    <xf numFmtId="0" fontId="24" fillId="21" borderId="4" xfId="0" applyFont="1" applyFill="1" applyBorder="1" applyAlignment="1">
      <alignment horizontal="left" vertical="top" wrapText="1"/>
    </xf>
    <xf numFmtId="0" fontId="24" fillId="21" borderId="5" xfId="0" applyFont="1" applyFill="1" applyBorder="1" applyAlignment="1">
      <alignment horizontal="left" vertical="top" wrapText="1"/>
    </xf>
    <xf numFmtId="0" fontId="86" fillId="21" borderId="3" xfId="0" applyFont="1" applyFill="1" applyBorder="1" applyAlignment="1">
      <alignment horizontal="left" vertical="top" wrapText="1"/>
    </xf>
    <xf numFmtId="0" fontId="24" fillId="21" borderId="3" xfId="0" applyFont="1" applyFill="1" applyBorder="1" applyAlignment="1">
      <alignment horizontal="left" vertical="top" wrapText="1"/>
    </xf>
  </cellXfs>
  <cellStyles count="16">
    <cellStyle name="20% - Accent1" xfId="9" builtinId="30"/>
    <cellStyle name="20% - Accent2" xfId="10" builtinId="34"/>
    <cellStyle name="20% - Accent5" xfId="13" builtinId="46"/>
    <cellStyle name="40% - Accent2" xfId="11" builtinId="35"/>
    <cellStyle name="40% - Accent5" xfId="14" builtinId="47"/>
    <cellStyle name="60% - Accent5" xfId="15" builtinId="48"/>
    <cellStyle name="Accent5" xfId="12" builtinId="45"/>
    <cellStyle name="Comma" xfId="1" builtinId="3"/>
    <cellStyle name="Comma 2" xfId="2"/>
    <cellStyle name="Good" xfId="7" builtinId="26"/>
    <cellStyle name="Hyperlink" xfId="6" builtinId="8"/>
    <cellStyle name="Input" xfId="8" builtinId="20"/>
    <cellStyle name="Normal" xfId="0" builtinId="0"/>
    <cellStyle name="Normal 2" xfId="4"/>
    <cellStyle name="Normal 6" xfId="3"/>
    <cellStyle name="Percent" xfId="5" builtinId="5"/>
  </cellStyles>
  <dxfs count="2">
    <dxf>
      <fill>
        <patternFill>
          <bgColor rgb="FFFFFF00"/>
        </patternFill>
      </fill>
    </dxf>
    <dxf>
      <fill>
        <patternFill>
          <bgColor rgb="FFFFFF00"/>
        </patternFill>
      </fill>
    </dxf>
  </dxfs>
  <tableStyles count="0" defaultTableStyle="TableStyleMedium9"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CB%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Performance Indicator "/>
      <sheetName val="Table 2. City Financial Perform"/>
      <sheetName val="Table 3. 1st Round Public Consu"/>
      <sheetName val="Table 4. 2nd Round Public Consu"/>
      <sheetName val="Table 5. Prioritized Projects"/>
      <sheetName val="Table 6. Summary of Multi year"/>
      <sheetName val="Table 7. Multi year forecast"/>
      <sheetName val="Table 8. Past 3 year expenditur"/>
      <sheetName val="Table 9. Three-year Summary"/>
      <sheetName val="10. Three-year Rolling CIP"/>
      <sheetName val="11. Three-year-IBEX"/>
      <sheetName val="12. Detail by source fund"/>
      <sheetName val="13. Detailed AAP "/>
      <sheetName val="14. Three Year Maintenance"/>
      <sheetName val="15. Maintenance action plan"/>
      <sheetName val="16. APP UIIDP"/>
      <sheetName val="State projects APP"/>
      <sheetName val=" Municipal Projects APP "/>
      <sheetName val="Goods APP "/>
      <sheetName val=" Maintenance APP "/>
      <sheetName val="Consultancy"/>
      <sheetName val="17. Staffing"/>
      <sheetName val="18.JOB CREATION"/>
      <sheetName val="19. capacity Building Plan"/>
      <sheetName val="20. AAP Capacity Building"/>
      <sheetName val="14. Municipality Goods"/>
      <sheetName val="Sheet1"/>
      <sheetName val="Sheet2"/>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5">
          <cell r="N5">
            <v>100000</v>
          </cell>
        </row>
        <row r="6">
          <cell r="N6">
            <v>98000</v>
          </cell>
        </row>
        <row r="7">
          <cell r="N7">
            <v>18000</v>
          </cell>
        </row>
        <row r="8">
          <cell r="N8">
            <v>431000</v>
          </cell>
        </row>
        <row r="9">
          <cell r="N9">
            <v>150000</v>
          </cell>
        </row>
        <row r="12">
          <cell r="N12">
            <v>70000</v>
          </cell>
        </row>
        <row r="13">
          <cell r="N13">
            <v>50000</v>
          </cell>
        </row>
        <row r="14">
          <cell r="N14">
            <v>65000</v>
          </cell>
        </row>
        <row r="17">
          <cell r="N17">
            <v>145000</v>
          </cell>
        </row>
        <row r="18">
          <cell r="N18">
            <v>80000</v>
          </cell>
        </row>
        <row r="21">
          <cell r="N21">
            <v>120000</v>
          </cell>
        </row>
        <row r="22">
          <cell r="N22">
            <v>100000</v>
          </cell>
        </row>
        <row r="25">
          <cell r="N25">
            <v>100000</v>
          </cell>
        </row>
        <row r="26">
          <cell r="N26">
            <v>60000</v>
          </cell>
        </row>
        <row r="29">
          <cell r="N29">
            <v>75000</v>
          </cell>
        </row>
        <row r="32">
          <cell r="N32">
            <v>60000</v>
          </cell>
        </row>
        <row r="35">
          <cell r="N35">
            <v>80000</v>
          </cell>
        </row>
        <row r="36">
          <cell r="N36">
            <v>60000</v>
          </cell>
        </row>
        <row r="37">
          <cell r="N37">
            <v>140000</v>
          </cell>
        </row>
        <row r="38">
          <cell r="N38">
            <v>60000</v>
          </cell>
        </row>
        <row r="41">
          <cell r="N41">
            <v>63000</v>
          </cell>
        </row>
        <row r="42">
          <cell r="N42">
            <v>50000</v>
          </cell>
        </row>
        <row r="43">
          <cell r="N43">
            <v>50000</v>
          </cell>
        </row>
        <row r="46">
          <cell r="N46">
            <v>2815160.02</v>
          </cell>
        </row>
      </sheetData>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hyperlink" Target="file:///C:\Users\user\AppData\Roaming\Microsoft\Excel\Revised%20CIP,AMP&amp;amp;REP%20-%20Copy\Arbaminch%20%202011-2013%20PP-Falized(revised)_1.xlsx" TargetMode="External"/><Relationship Id="rId2" Type="http://schemas.openxmlformats.org/officeDocument/2006/relationships/hyperlink" Target="file:///C:\Users\user\AppData\Roaming\Microsoft\Excel\Revised%20CIP,AMP&amp;amp;REP%20-%20Copy\Arbaminch%20%202011-2013%20PP-Falized(revised)_1.xlsx" TargetMode="External"/><Relationship Id="rId1" Type="http://schemas.openxmlformats.org/officeDocument/2006/relationships/hyperlink" Target="file:///C:\Users\user\AppData\Roaming\Microsoft\Excel\Revised%20CIP,AMP&amp;amp;REP%20-%20Copy\Arbaminch%20%202011-2013%20PP-Falized(revised)_1.xlsx"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2:N26"/>
  <sheetViews>
    <sheetView zoomScale="90" zoomScaleNormal="90" workbookViewId="0">
      <selection activeCell="H21" sqref="H21"/>
    </sheetView>
  </sheetViews>
  <sheetFormatPr defaultColWidth="9.109375" defaultRowHeight="14.4" x14ac:dyDescent="0.3"/>
  <cols>
    <col min="1" max="3" width="9.109375" style="66"/>
    <col min="4" max="4" width="33.6640625" style="66" customWidth="1"/>
    <col min="5" max="5" width="9.88671875" style="66" customWidth="1"/>
    <col min="6" max="6" width="15.109375" style="166" customWidth="1"/>
    <col min="7" max="7" width="13.44140625" style="890" bestFit="1" customWidth="1"/>
    <col min="8" max="8" width="16.109375" style="890" customWidth="1"/>
    <col min="9" max="9" width="14.5546875" style="890" customWidth="1"/>
    <col min="10" max="10" width="16.33203125" style="66" customWidth="1"/>
    <col min="11" max="12" width="9.109375" style="66"/>
    <col min="13" max="13" width="16.88671875" style="166" customWidth="1"/>
    <col min="14" max="14" width="11.109375" style="166" bestFit="1" customWidth="1"/>
    <col min="15" max="16384" width="9.109375" style="66"/>
  </cols>
  <sheetData>
    <row r="2" spans="3:14" ht="15.6" x14ac:dyDescent="0.3">
      <c r="C2" s="874" t="s">
        <v>570</v>
      </c>
    </row>
    <row r="3" spans="3:14" ht="15" thickBot="1" x14ac:dyDescent="0.35"/>
    <row r="4" spans="3:14" ht="15.6" x14ac:dyDescent="0.3">
      <c r="C4" s="1998" t="s">
        <v>0</v>
      </c>
      <c r="D4" s="1998" t="s">
        <v>339</v>
      </c>
      <c r="E4" s="1998" t="s">
        <v>340</v>
      </c>
      <c r="F4" s="1066" t="s">
        <v>341</v>
      </c>
      <c r="G4" s="1067" t="s">
        <v>157</v>
      </c>
      <c r="H4" s="1067" t="s">
        <v>562</v>
      </c>
      <c r="I4" s="1067" t="s">
        <v>794</v>
      </c>
      <c r="J4" s="1068" t="s">
        <v>346</v>
      </c>
    </row>
    <row r="5" spans="3:14" ht="15.6" x14ac:dyDescent="0.3">
      <c r="C5" s="1999"/>
      <c r="D5" s="1999"/>
      <c r="E5" s="1999"/>
      <c r="F5" s="1069" t="s">
        <v>566</v>
      </c>
      <c r="G5" s="1457" t="s">
        <v>796</v>
      </c>
      <c r="H5" s="1457" t="s">
        <v>567</v>
      </c>
      <c r="I5" s="1457" t="s">
        <v>797</v>
      </c>
      <c r="J5" s="1071" t="s">
        <v>347</v>
      </c>
    </row>
    <row r="6" spans="3:14" ht="15.6" x14ac:dyDescent="0.3">
      <c r="C6" s="1999"/>
      <c r="D6" s="1999"/>
      <c r="E6" s="1999"/>
      <c r="F6" s="1072" t="s">
        <v>795</v>
      </c>
      <c r="G6" s="1457" t="s">
        <v>419</v>
      </c>
      <c r="H6" s="1070" t="s">
        <v>419</v>
      </c>
      <c r="I6" s="1070" t="s">
        <v>419</v>
      </c>
      <c r="J6" s="1071" t="s">
        <v>348</v>
      </c>
    </row>
    <row r="7" spans="3:14" ht="26.4" thickBot="1" x14ac:dyDescent="0.55000000000000004">
      <c r="C7" s="2000"/>
      <c r="D7" s="2000"/>
      <c r="E7" s="2000"/>
      <c r="F7" s="1073" t="s">
        <v>391</v>
      </c>
      <c r="G7" s="1074"/>
      <c r="H7" s="1075" t="s">
        <v>343</v>
      </c>
      <c r="I7" s="1074"/>
      <c r="J7" s="1076"/>
    </row>
    <row r="8" spans="3:14" ht="16.2" thickBot="1" x14ac:dyDescent="0.35">
      <c r="C8" s="1077">
        <v>1</v>
      </c>
      <c r="D8" s="1065" t="s">
        <v>392</v>
      </c>
      <c r="E8" s="1078" t="s">
        <v>11</v>
      </c>
      <c r="F8" s="1079">
        <v>0</v>
      </c>
      <c r="G8" s="1608">
        <v>0</v>
      </c>
      <c r="H8" s="1608">
        <f>G8*1.2</f>
        <v>0</v>
      </c>
      <c r="I8" s="1608">
        <f>H8*1.2</f>
        <v>0</v>
      </c>
      <c r="J8" s="1079"/>
    </row>
    <row r="9" spans="3:14" ht="16.2" thickBot="1" x14ac:dyDescent="0.35">
      <c r="C9" s="1077">
        <v>2</v>
      </c>
      <c r="D9" s="1065" t="s">
        <v>145</v>
      </c>
      <c r="E9" s="1078" t="s">
        <v>11</v>
      </c>
      <c r="F9" s="1534">
        <v>3.9390000000000001</v>
      </c>
      <c r="G9" s="1608"/>
      <c r="H9" s="1608"/>
      <c r="I9" s="1608"/>
      <c r="J9" s="1079"/>
    </row>
    <row r="10" spans="3:14" ht="16.2" thickBot="1" x14ac:dyDescent="0.35">
      <c r="C10" s="1077">
        <v>3</v>
      </c>
      <c r="D10" s="1065" t="s">
        <v>393</v>
      </c>
      <c r="E10" s="1078" t="s">
        <v>11</v>
      </c>
      <c r="F10" s="1079" t="s">
        <v>138</v>
      </c>
      <c r="G10" s="1079">
        <v>0</v>
      </c>
      <c r="H10" s="1608">
        <f t="shared" ref="H10:I20" si="0">G10*1.2</f>
        <v>0</v>
      </c>
      <c r="I10" s="1608">
        <f t="shared" si="0"/>
        <v>0</v>
      </c>
      <c r="J10" s="1079"/>
    </row>
    <row r="11" spans="3:14" ht="18" thickBot="1" x14ac:dyDescent="0.35">
      <c r="C11" s="1077">
        <v>4</v>
      </c>
      <c r="D11" s="1065" t="s">
        <v>394</v>
      </c>
      <c r="E11" s="1078" t="s">
        <v>699</v>
      </c>
      <c r="F11" s="1534">
        <f>6901*7</f>
        <v>48307</v>
      </c>
      <c r="G11" s="1079">
        <f>'10. Three-year Rolling CIP'!G8+'10. Three-year Rolling CIP'!G9</f>
        <v>65686</v>
      </c>
      <c r="H11" s="1608">
        <f>'10. Three-year Rolling CIP'!I8</f>
        <v>70708.899999999994</v>
      </c>
      <c r="I11" s="1608">
        <f>'10. Three-year Rolling CIP'!K8</f>
        <v>81315.234999999986</v>
      </c>
      <c r="J11" s="1079"/>
      <c r="M11" s="166">
        <v>44898.8</v>
      </c>
    </row>
    <row r="12" spans="3:14" ht="18" thickBot="1" x14ac:dyDescent="0.35">
      <c r="C12" s="1077">
        <v>5</v>
      </c>
      <c r="D12" s="1065" t="s">
        <v>395</v>
      </c>
      <c r="E12" s="1078" t="s">
        <v>699</v>
      </c>
      <c r="F12" s="1079" t="s">
        <v>138</v>
      </c>
      <c r="G12" s="1608"/>
      <c r="H12" s="1608">
        <f t="shared" si="0"/>
        <v>0</v>
      </c>
      <c r="I12" s="1608">
        <f t="shared" si="0"/>
        <v>0</v>
      </c>
      <c r="J12" s="1079"/>
      <c r="M12" s="166">
        <v>14570</v>
      </c>
      <c r="N12" s="166">
        <f>M11-M12</f>
        <v>30328.800000000003</v>
      </c>
    </row>
    <row r="13" spans="3:14" ht="16.2" thickBot="1" x14ac:dyDescent="0.35">
      <c r="C13" s="1077">
        <v>6</v>
      </c>
      <c r="D13" s="1065" t="s">
        <v>147</v>
      </c>
      <c r="E13" s="1078" t="s">
        <v>97</v>
      </c>
      <c r="F13" s="1534">
        <v>983.2</v>
      </c>
      <c r="G13" s="1079">
        <f>'10. Three-year Rolling CIP'!G77+'10. Three-year Rolling CIP'!G78</f>
        <v>3401</v>
      </c>
      <c r="H13" s="1608">
        <f>'10. Three-year Rolling CIP'!I77</f>
        <v>3741.43</v>
      </c>
      <c r="I13" s="1608">
        <f>'10. Three-year Rolling CIP'!K77</f>
        <v>4227.8158999999996</v>
      </c>
      <c r="J13" s="1079"/>
      <c r="M13" s="166">
        <v>877</v>
      </c>
      <c r="N13" s="166">
        <f>N12+M13</f>
        <v>31205.800000000003</v>
      </c>
    </row>
    <row r="14" spans="3:14" ht="16.2" thickBot="1" x14ac:dyDescent="0.35">
      <c r="C14" s="1077">
        <v>7</v>
      </c>
      <c r="D14" s="1065" t="s">
        <v>146</v>
      </c>
      <c r="E14" s="1078" t="s">
        <v>3</v>
      </c>
      <c r="F14" s="1534">
        <v>3</v>
      </c>
      <c r="G14" s="1608">
        <v>6</v>
      </c>
      <c r="H14" s="1608">
        <v>5</v>
      </c>
      <c r="I14" s="1608">
        <v>6</v>
      </c>
      <c r="J14" s="1079"/>
    </row>
    <row r="15" spans="3:14" ht="16.2" thickBot="1" x14ac:dyDescent="0.35">
      <c r="C15" s="1077">
        <v>8</v>
      </c>
      <c r="D15" s="1065" t="s">
        <v>396</v>
      </c>
      <c r="E15" s="1078" t="s">
        <v>3</v>
      </c>
      <c r="F15" s="1079" t="s">
        <v>138</v>
      </c>
      <c r="G15" s="1608">
        <v>2</v>
      </c>
      <c r="H15" s="1608">
        <v>2</v>
      </c>
      <c r="I15" s="1608">
        <v>3</v>
      </c>
      <c r="J15" s="1079"/>
    </row>
    <row r="16" spans="3:14" ht="16.2" thickBot="1" x14ac:dyDescent="0.35">
      <c r="C16" s="1077">
        <v>9</v>
      </c>
      <c r="D16" s="1065" t="s">
        <v>390</v>
      </c>
      <c r="E16" s="1078" t="s">
        <v>3</v>
      </c>
      <c r="F16" s="1079">
        <v>640</v>
      </c>
      <c r="G16" s="1079">
        <v>0</v>
      </c>
      <c r="H16" s="1608">
        <f t="shared" si="0"/>
        <v>0</v>
      </c>
      <c r="I16" s="1608">
        <f t="shared" si="0"/>
        <v>0</v>
      </c>
      <c r="J16" s="1079"/>
    </row>
    <row r="17" spans="3:10" ht="16.2" thickBot="1" x14ac:dyDescent="0.35">
      <c r="C17" s="1077">
        <v>10</v>
      </c>
      <c r="D17" s="1065" t="s">
        <v>397</v>
      </c>
      <c r="E17" s="1078" t="s">
        <v>517</v>
      </c>
      <c r="F17" s="1079" t="s">
        <v>138</v>
      </c>
      <c r="G17" s="1079">
        <v>2.4</v>
      </c>
      <c r="H17" s="1608">
        <v>2.8</v>
      </c>
      <c r="I17" s="1608">
        <v>3.6</v>
      </c>
      <c r="J17" s="1079"/>
    </row>
    <row r="18" spans="3:10" ht="16.2" thickBot="1" x14ac:dyDescent="0.35">
      <c r="C18" s="1077">
        <v>11</v>
      </c>
      <c r="D18" s="1065" t="s">
        <v>398</v>
      </c>
      <c r="E18" s="1078" t="s">
        <v>3</v>
      </c>
      <c r="F18" s="1079" t="s">
        <v>138</v>
      </c>
      <c r="G18" s="1079">
        <v>0</v>
      </c>
      <c r="H18" s="1608">
        <f t="shared" si="0"/>
        <v>0</v>
      </c>
      <c r="I18" s="1608">
        <f t="shared" si="0"/>
        <v>0</v>
      </c>
      <c r="J18" s="1079"/>
    </row>
    <row r="19" spans="3:10" ht="16.2" thickBot="1" x14ac:dyDescent="0.35">
      <c r="C19" s="1077">
        <v>12</v>
      </c>
      <c r="D19" s="1065" t="s">
        <v>139</v>
      </c>
      <c r="E19" s="1078" t="s">
        <v>97</v>
      </c>
      <c r="F19" s="1080">
        <v>150</v>
      </c>
      <c r="G19" s="1608">
        <v>330</v>
      </c>
      <c r="H19" s="1608">
        <v>282.5</v>
      </c>
      <c r="I19" s="1608">
        <v>319.23</v>
      </c>
      <c r="J19" s="1079"/>
    </row>
    <row r="20" spans="3:10" ht="16.2" thickBot="1" x14ac:dyDescent="0.35">
      <c r="C20" s="1077">
        <v>13</v>
      </c>
      <c r="D20" s="1065" t="s">
        <v>399</v>
      </c>
      <c r="E20" s="1078" t="s">
        <v>11</v>
      </c>
      <c r="F20" s="1079">
        <f>1.05-'12. Detail by source fund'!E121</f>
        <v>0.95000000000000007</v>
      </c>
      <c r="G20" s="1079">
        <v>0.1</v>
      </c>
      <c r="H20" s="1608">
        <v>0</v>
      </c>
      <c r="I20" s="1608">
        <f t="shared" si="0"/>
        <v>0</v>
      </c>
      <c r="J20" s="1079"/>
    </row>
    <row r="21" spans="3:10" ht="16.2" thickBot="1" x14ac:dyDescent="0.35">
      <c r="C21" s="1077">
        <v>14</v>
      </c>
      <c r="D21" s="1065" t="s">
        <v>142</v>
      </c>
      <c r="E21" s="1078" t="s">
        <v>10</v>
      </c>
      <c r="F21" s="1534">
        <v>24400</v>
      </c>
      <c r="G21" s="1608">
        <v>22000</v>
      </c>
      <c r="H21" s="1608">
        <v>16950</v>
      </c>
      <c r="I21" s="1608">
        <v>19153.5</v>
      </c>
      <c r="J21" s="1079"/>
    </row>
    <row r="22" spans="3:10" ht="16.2" thickBot="1" x14ac:dyDescent="0.35">
      <c r="C22" s="1077">
        <v>15</v>
      </c>
      <c r="D22" s="1065" t="s">
        <v>704</v>
      </c>
      <c r="E22" s="1078" t="s">
        <v>11</v>
      </c>
      <c r="F22" s="1079">
        <f>1.03-'12. Detail by source fund'!E125</f>
        <v>0.93</v>
      </c>
      <c r="G22" s="1079">
        <v>0.1</v>
      </c>
      <c r="H22" s="1608">
        <v>0</v>
      </c>
      <c r="I22" s="1608">
        <v>0</v>
      </c>
      <c r="J22" s="1079"/>
    </row>
    <row r="23" spans="3:10" ht="16.2" thickBot="1" x14ac:dyDescent="0.35">
      <c r="C23" s="1077">
        <v>16</v>
      </c>
      <c r="D23" s="1065" t="s">
        <v>31</v>
      </c>
      <c r="E23" s="1078" t="s">
        <v>3</v>
      </c>
      <c r="F23" s="1079">
        <v>8</v>
      </c>
      <c r="G23" s="1608">
        <v>16</v>
      </c>
      <c r="H23" s="1608">
        <v>19</v>
      </c>
      <c r="I23" s="1608">
        <v>23</v>
      </c>
      <c r="J23" s="1608"/>
    </row>
    <row r="24" spans="3:10" ht="16.2" thickBot="1" x14ac:dyDescent="0.35">
      <c r="C24" s="1077">
        <v>17</v>
      </c>
      <c r="D24" s="1065" t="s">
        <v>152</v>
      </c>
      <c r="E24" s="1078" t="s">
        <v>3</v>
      </c>
      <c r="F24" s="1079">
        <v>1</v>
      </c>
      <c r="G24" s="1608">
        <v>4</v>
      </c>
      <c r="H24" s="1608">
        <v>5</v>
      </c>
      <c r="I24" s="1608">
        <v>7</v>
      </c>
      <c r="J24" s="1079"/>
    </row>
    <row r="25" spans="3:10" ht="16.2" thickBot="1" x14ac:dyDescent="0.35">
      <c r="C25" s="1077">
        <v>18</v>
      </c>
      <c r="D25" s="1065" t="s">
        <v>401</v>
      </c>
      <c r="E25" s="1078" t="s">
        <v>97</v>
      </c>
      <c r="F25" s="1079"/>
      <c r="G25" s="1608"/>
      <c r="H25" s="1608"/>
      <c r="I25" s="1608"/>
      <c r="J25" s="1079"/>
    </row>
    <row r="26" spans="3:10" ht="16.2" thickBot="1" x14ac:dyDescent="0.35">
      <c r="C26" s="1077">
        <v>19</v>
      </c>
      <c r="D26" s="1065" t="s">
        <v>400</v>
      </c>
      <c r="E26" s="1078" t="s">
        <v>3</v>
      </c>
      <c r="F26" s="1534">
        <v>30</v>
      </c>
      <c r="G26" s="1079">
        <v>0</v>
      </c>
      <c r="H26" s="1608">
        <v>0</v>
      </c>
      <c r="I26" s="1608">
        <v>0</v>
      </c>
      <c r="J26" s="1079"/>
    </row>
  </sheetData>
  <mergeCells count="3">
    <mergeCell ref="C4:C7"/>
    <mergeCell ref="D4:D7"/>
    <mergeCell ref="E4:E7"/>
  </mergeCells>
  <pageMargins left="0.7" right="0.7" top="0.75" bottom="0.75" header="0.3" footer="0.3"/>
  <pageSetup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161"/>
  <sheetViews>
    <sheetView topLeftCell="B1" workbookViewId="0">
      <pane xSplit="13" ySplit="3" topLeftCell="O4" activePane="bottomRight" state="frozenSplit"/>
      <selection activeCell="B1" sqref="B1"/>
      <selection pane="topRight" activeCell="J1" sqref="J1"/>
      <selection pane="bottomLeft" activeCell="B3" sqref="B3"/>
      <selection pane="bottomRight" activeCell="J70" sqref="J70"/>
    </sheetView>
  </sheetViews>
  <sheetFormatPr defaultColWidth="9.109375" defaultRowHeight="14.4" x14ac:dyDescent="0.3"/>
  <cols>
    <col min="1" max="2" width="9.109375" style="101"/>
    <col min="3" max="3" width="6.88671875" style="101" customWidth="1"/>
    <col min="4" max="4" width="30" style="101" customWidth="1"/>
    <col min="5" max="5" width="6.5546875" style="101" customWidth="1"/>
    <col min="6" max="6" width="8" style="101" customWidth="1"/>
    <col min="7" max="7" width="12.109375" style="101" customWidth="1"/>
    <col min="8" max="8" width="17.44140625" style="101" bestFit="1" customWidth="1"/>
    <col min="9" max="9" width="14.6640625" style="101" bestFit="1" customWidth="1"/>
    <col min="10" max="10" width="17.44140625" style="101" bestFit="1" customWidth="1"/>
    <col min="11" max="11" width="14.6640625" style="101" bestFit="1" customWidth="1"/>
    <col min="12" max="12" width="17.33203125" style="101" bestFit="1" customWidth="1"/>
    <col min="13" max="13" width="13.88671875" style="101" bestFit="1" customWidth="1"/>
    <col min="14" max="14" width="17.33203125" style="101" bestFit="1" customWidth="1"/>
    <col min="15" max="15" width="9.109375" style="101"/>
    <col min="16" max="16" width="14.6640625" style="101" bestFit="1" customWidth="1"/>
    <col min="17" max="16384" width="9.109375" style="101"/>
  </cols>
  <sheetData>
    <row r="1" spans="3:14" ht="15" thickBot="1" x14ac:dyDescent="0.35"/>
    <row r="2" spans="3:14" ht="20.399999999999999" customHeight="1" x14ac:dyDescent="0.3">
      <c r="C2" s="177" t="s">
        <v>3</v>
      </c>
      <c r="D2" s="728" t="s">
        <v>170</v>
      </c>
      <c r="E2" s="729" t="s">
        <v>5</v>
      </c>
      <c r="F2" s="177" t="s">
        <v>6</v>
      </c>
      <c r="G2" s="2037" t="s">
        <v>157</v>
      </c>
      <c r="H2" s="2036"/>
      <c r="I2" s="2036" t="s">
        <v>562</v>
      </c>
      <c r="J2" s="2036"/>
      <c r="K2" s="2036" t="s">
        <v>794</v>
      </c>
      <c r="L2" s="2036"/>
      <c r="M2" s="2036" t="s">
        <v>421</v>
      </c>
      <c r="N2" s="2036"/>
    </row>
    <row r="3" spans="3:14" ht="14.4" customHeight="1" x14ac:dyDescent="0.3">
      <c r="C3" s="173"/>
      <c r="D3" s="173"/>
      <c r="E3" s="173"/>
      <c r="F3" s="173"/>
      <c r="G3" s="176" t="s">
        <v>55</v>
      </c>
      <c r="H3" s="177" t="s">
        <v>28</v>
      </c>
      <c r="I3" s="177" t="s">
        <v>55</v>
      </c>
      <c r="J3" s="177" t="s">
        <v>28</v>
      </c>
      <c r="K3" s="177" t="s">
        <v>55</v>
      </c>
      <c r="L3" s="177" t="s">
        <v>28</v>
      </c>
      <c r="M3" s="177" t="s">
        <v>55</v>
      </c>
      <c r="N3" s="177" t="s">
        <v>28</v>
      </c>
    </row>
    <row r="4" spans="3:14" ht="16.5" customHeight="1" x14ac:dyDescent="0.3">
      <c r="C4" s="2047" t="s">
        <v>171</v>
      </c>
      <c r="D4" s="2047"/>
      <c r="E4" s="2047"/>
      <c r="F4" s="2047"/>
      <c r="G4" s="178"/>
      <c r="H4" s="178"/>
      <c r="I4" s="178"/>
      <c r="J4" s="178"/>
      <c r="K4" s="178"/>
      <c r="L4" s="178"/>
      <c r="M4" s="178"/>
      <c r="N4" s="178"/>
    </row>
    <row r="5" spans="3:14" ht="16.5" customHeight="1" thickBot="1" x14ac:dyDescent="0.35">
      <c r="C5" s="179" t="s">
        <v>1</v>
      </c>
      <c r="D5" s="730" t="s">
        <v>172</v>
      </c>
      <c r="E5" s="731"/>
      <c r="F5" s="732"/>
      <c r="G5" s="181"/>
      <c r="H5" s="181"/>
      <c r="I5" s="181"/>
      <c r="J5" s="181"/>
      <c r="K5" s="181"/>
      <c r="L5" s="181"/>
      <c r="M5" s="181"/>
      <c r="N5" s="181"/>
    </row>
    <row r="6" spans="3:14" ht="16.2" thickBot="1" x14ac:dyDescent="0.35">
      <c r="C6" s="182">
        <v>1</v>
      </c>
      <c r="D6" s="183" t="s">
        <v>173</v>
      </c>
      <c r="E6" s="184"/>
      <c r="F6" s="181"/>
      <c r="G6" s="185"/>
      <c r="H6" s="185"/>
      <c r="I6" s="185"/>
      <c r="J6" s="185"/>
      <c r="K6" s="185"/>
      <c r="L6" s="186"/>
      <c r="M6" s="187"/>
      <c r="N6" s="188"/>
    </row>
    <row r="7" spans="3:14" ht="16.5" customHeight="1" thickBot="1" x14ac:dyDescent="0.35">
      <c r="C7" s="182">
        <v>1.1000000000000001</v>
      </c>
      <c r="D7" s="183" t="s">
        <v>129</v>
      </c>
      <c r="E7" s="189"/>
      <c r="F7" s="190"/>
      <c r="G7" s="191"/>
      <c r="H7" s="190"/>
      <c r="I7" s="190"/>
      <c r="J7" s="190"/>
      <c r="K7" s="190"/>
      <c r="L7" s="190"/>
      <c r="M7" s="190"/>
      <c r="N7" s="190"/>
    </row>
    <row r="8" spans="3:14" ht="16.2" thickBot="1" x14ac:dyDescent="0.35">
      <c r="C8" s="182" t="s">
        <v>174</v>
      </c>
      <c r="D8" s="183" t="s">
        <v>175</v>
      </c>
      <c r="E8" s="192" t="s">
        <v>10</v>
      </c>
      <c r="F8" s="181">
        <v>1</v>
      </c>
      <c r="G8" s="193">
        <f>'12. Detail by source fund'!E41</f>
        <v>61486</v>
      </c>
      <c r="H8" s="193">
        <f>'12. Detail by source fund'!F41</f>
        <v>77970295.160000011</v>
      </c>
      <c r="I8" s="193">
        <f>G8*1.15</f>
        <v>70708.899999999994</v>
      </c>
      <c r="J8" s="194">
        <f>H8*1.18</f>
        <v>92004948.288800001</v>
      </c>
      <c r="K8" s="194">
        <f>I8*1.15</f>
        <v>81315.234999999986</v>
      </c>
      <c r="L8" s="195">
        <f>J8*1.17+1723224.8</f>
        <v>109369014.297896</v>
      </c>
      <c r="M8" s="196">
        <f>G8+I8+K8</f>
        <v>213510.13499999998</v>
      </c>
      <c r="N8" s="197">
        <f>H8+J8+L8</f>
        <v>279344257.746696</v>
      </c>
    </row>
    <row r="9" spans="3:14" ht="16.2" thickBot="1" x14ac:dyDescent="0.35">
      <c r="C9" s="182" t="s">
        <v>176</v>
      </c>
      <c r="D9" s="183" t="s">
        <v>177</v>
      </c>
      <c r="E9" s="183" t="s">
        <v>10</v>
      </c>
      <c r="F9" s="181">
        <v>1</v>
      </c>
      <c r="G9" s="194">
        <f>'12. Detail by source fund'!E62</f>
        <v>4200</v>
      </c>
      <c r="H9" s="194">
        <f>'12. Detail by source fund'!F62</f>
        <v>5650939.7400000002</v>
      </c>
      <c r="I9" s="194"/>
      <c r="J9" s="198">
        <v>0</v>
      </c>
      <c r="K9" s="198"/>
      <c r="L9" s="199">
        <v>0</v>
      </c>
      <c r="M9" s="196">
        <f t="shared" ref="M9:M71" si="0">G9+I9+K9</f>
        <v>4200</v>
      </c>
      <c r="N9" s="197">
        <f t="shared" ref="N9:N71" si="1">H9+J9+L9</f>
        <v>5650939.7400000002</v>
      </c>
    </row>
    <row r="10" spans="3:14" ht="16.5" customHeight="1" thickBot="1" x14ac:dyDescent="0.35">
      <c r="C10" s="182">
        <v>1.2</v>
      </c>
      <c r="D10" s="183" t="s">
        <v>128</v>
      </c>
      <c r="E10" s="183"/>
      <c r="F10" s="181"/>
      <c r="G10" s="185"/>
      <c r="H10" s="200"/>
      <c r="I10" s="200"/>
      <c r="J10" s="201"/>
      <c r="K10" s="201"/>
      <c r="L10" s="202"/>
      <c r="M10" s="196">
        <f t="shared" si="0"/>
        <v>0</v>
      </c>
      <c r="N10" s="197">
        <f t="shared" si="1"/>
        <v>0</v>
      </c>
    </row>
    <row r="11" spans="3:14" ht="16.2" thickBot="1" x14ac:dyDescent="0.35">
      <c r="C11" s="182" t="s">
        <v>178</v>
      </c>
      <c r="D11" s="183" t="s">
        <v>175</v>
      </c>
      <c r="E11" s="183" t="s">
        <v>11</v>
      </c>
      <c r="F11" s="190"/>
      <c r="G11" s="733">
        <v>0</v>
      </c>
      <c r="H11" s="171">
        <v>0</v>
      </c>
      <c r="I11" s="171">
        <f>G11*1.19</f>
        <v>0</v>
      </c>
      <c r="J11" s="171">
        <f>H11*1.19</f>
        <v>0</v>
      </c>
      <c r="K11" s="171">
        <f>I11*1.15</f>
        <v>0</v>
      </c>
      <c r="L11" s="171">
        <f>J11*1.15</f>
        <v>0</v>
      </c>
      <c r="M11" s="196">
        <f t="shared" si="0"/>
        <v>0</v>
      </c>
      <c r="N11" s="197">
        <f t="shared" si="1"/>
        <v>0</v>
      </c>
    </row>
    <row r="12" spans="3:14" ht="16.2" thickBot="1" x14ac:dyDescent="0.35">
      <c r="C12" s="182" t="s">
        <v>179</v>
      </c>
      <c r="D12" s="203" t="s">
        <v>414</v>
      </c>
      <c r="E12" s="183" t="s">
        <v>11</v>
      </c>
      <c r="F12" s="181"/>
      <c r="G12" s="201"/>
      <c r="H12" s="421"/>
      <c r="I12" s="201"/>
      <c r="J12" s="201"/>
      <c r="K12" s="201"/>
      <c r="L12" s="202"/>
      <c r="M12" s="196">
        <f t="shared" si="0"/>
        <v>0</v>
      </c>
      <c r="N12" s="197">
        <f t="shared" si="1"/>
        <v>0</v>
      </c>
    </row>
    <row r="13" spans="3:14" ht="16.5" customHeight="1" thickBot="1" x14ac:dyDescent="0.35">
      <c r="C13" s="182">
        <v>1.3</v>
      </c>
      <c r="D13" s="183" t="s">
        <v>180</v>
      </c>
      <c r="E13" s="183"/>
      <c r="F13" s="190"/>
      <c r="G13" s="191"/>
      <c r="H13" s="190"/>
      <c r="I13" s="190"/>
      <c r="J13" s="190"/>
      <c r="K13" s="190"/>
      <c r="L13" s="190"/>
      <c r="M13" s="196">
        <f t="shared" si="0"/>
        <v>0</v>
      </c>
      <c r="N13" s="197">
        <f t="shared" si="1"/>
        <v>0</v>
      </c>
    </row>
    <row r="14" spans="3:14" ht="16.2" thickBot="1" x14ac:dyDescent="0.35">
      <c r="C14" s="182" t="s">
        <v>181</v>
      </c>
      <c r="D14" s="183" t="s">
        <v>175</v>
      </c>
      <c r="E14" s="183" t="s">
        <v>239</v>
      </c>
      <c r="F14" s="181"/>
      <c r="G14" s="204"/>
      <c r="H14" s="205"/>
      <c r="I14" s="205"/>
      <c r="J14" s="206"/>
      <c r="K14" s="206"/>
      <c r="L14" s="207"/>
      <c r="M14" s="196">
        <f t="shared" si="0"/>
        <v>0</v>
      </c>
      <c r="N14" s="197">
        <f t="shared" si="1"/>
        <v>0</v>
      </c>
    </row>
    <row r="15" spans="3:14" ht="16.2" thickBot="1" x14ac:dyDescent="0.35">
      <c r="C15" s="182" t="s">
        <v>182</v>
      </c>
      <c r="D15" s="203" t="s">
        <v>414</v>
      </c>
      <c r="E15" s="183"/>
      <c r="F15" s="181"/>
      <c r="G15" s="955">
        <v>0</v>
      </c>
      <c r="H15" s="210">
        <v>0</v>
      </c>
      <c r="I15" s="208"/>
      <c r="J15" s="208"/>
      <c r="K15" s="208"/>
      <c r="L15" s="209"/>
      <c r="M15" s="196">
        <f t="shared" si="0"/>
        <v>0</v>
      </c>
      <c r="N15" s="197">
        <f t="shared" si="1"/>
        <v>0</v>
      </c>
    </row>
    <row r="16" spans="3:14" ht="16.5" customHeight="1" thickBot="1" x14ac:dyDescent="0.35">
      <c r="C16" s="182">
        <v>1.4</v>
      </c>
      <c r="D16" s="183" t="s">
        <v>183</v>
      </c>
      <c r="E16" s="183"/>
      <c r="F16" s="181"/>
      <c r="G16" s="208"/>
      <c r="H16" s="208"/>
      <c r="I16" s="208"/>
      <c r="J16" s="208"/>
      <c r="K16" s="208"/>
      <c r="L16" s="209"/>
      <c r="M16" s="196">
        <f t="shared" si="0"/>
        <v>0</v>
      </c>
      <c r="N16" s="197">
        <f t="shared" si="1"/>
        <v>0</v>
      </c>
    </row>
    <row r="17" spans="3:14" ht="16.2" thickBot="1" x14ac:dyDescent="0.35">
      <c r="C17" s="182" t="s">
        <v>184</v>
      </c>
      <c r="D17" s="183" t="s">
        <v>175</v>
      </c>
      <c r="E17" s="183"/>
      <c r="F17" s="181"/>
      <c r="G17" s="208"/>
      <c r="H17" s="208"/>
      <c r="I17" s="208"/>
      <c r="J17" s="210"/>
      <c r="K17" s="210"/>
      <c r="L17" s="211"/>
      <c r="M17" s="196">
        <f t="shared" si="0"/>
        <v>0</v>
      </c>
      <c r="N17" s="197">
        <f t="shared" si="1"/>
        <v>0</v>
      </c>
    </row>
    <row r="18" spans="3:14" ht="16.2" thickBot="1" x14ac:dyDescent="0.35">
      <c r="C18" s="182" t="s">
        <v>185</v>
      </c>
      <c r="D18" s="183" t="s">
        <v>177</v>
      </c>
      <c r="E18" s="183"/>
      <c r="F18" s="181"/>
      <c r="G18" s="208"/>
      <c r="H18" s="208"/>
      <c r="I18" s="208"/>
      <c r="J18" s="208"/>
      <c r="K18" s="208"/>
      <c r="L18" s="209"/>
      <c r="M18" s="196">
        <f t="shared" si="0"/>
        <v>0</v>
      </c>
      <c r="N18" s="197">
        <f t="shared" si="1"/>
        <v>0</v>
      </c>
    </row>
    <row r="19" spans="3:14" ht="16.5" customHeight="1" thickBot="1" x14ac:dyDescent="0.35">
      <c r="C19" s="182">
        <v>2</v>
      </c>
      <c r="D19" s="183" t="s">
        <v>186</v>
      </c>
      <c r="E19" s="183"/>
      <c r="F19" s="181"/>
      <c r="G19" s="208"/>
      <c r="H19" s="208"/>
      <c r="I19" s="208"/>
      <c r="J19" s="208"/>
      <c r="K19" s="208"/>
      <c r="L19" s="209"/>
      <c r="M19" s="196">
        <f t="shared" si="0"/>
        <v>0</v>
      </c>
      <c r="N19" s="197">
        <f t="shared" si="1"/>
        <v>0</v>
      </c>
    </row>
    <row r="20" spans="3:14" ht="16.2" thickBot="1" x14ac:dyDescent="0.35">
      <c r="C20" s="182">
        <v>2.1</v>
      </c>
      <c r="D20" s="183" t="s">
        <v>175</v>
      </c>
      <c r="E20" s="183"/>
      <c r="F20" s="181"/>
      <c r="G20" s="208"/>
      <c r="H20" s="208"/>
      <c r="I20" s="208"/>
      <c r="J20" s="208"/>
      <c r="K20" s="208"/>
      <c r="L20" s="209"/>
      <c r="M20" s="196">
        <f t="shared" si="0"/>
        <v>0</v>
      </c>
      <c r="N20" s="197">
        <f t="shared" si="1"/>
        <v>0</v>
      </c>
    </row>
    <row r="21" spans="3:14" ht="16.2" thickBot="1" x14ac:dyDescent="0.35">
      <c r="C21" s="182">
        <v>2.2000000000000002</v>
      </c>
      <c r="D21" s="183" t="s">
        <v>177</v>
      </c>
      <c r="E21" s="183"/>
      <c r="F21" s="181"/>
      <c r="G21" s="208"/>
      <c r="H21" s="208"/>
      <c r="I21" s="208"/>
      <c r="J21" s="208"/>
      <c r="K21" s="208"/>
      <c r="L21" s="209"/>
      <c r="M21" s="196">
        <f t="shared" si="0"/>
        <v>0</v>
      </c>
      <c r="N21" s="197">
        <f t="shared" si="1"/>
        <v>0</v>
      </c>
    </row>
    <row r="22" spans="3:14" ht="16.5" customHeight="1" thickBot="1" x14ac:dyDescent="0.35">
      <c r="C22" s="182">
        <v>3</v>
      </c>
      <c r="D22" s="183" t="s">
        <v>187</v>
      </c>
      <c r="E22" s="183"/>
      <c r="F22" s="181"/>
      <c r="G22" s="208"/>
      <c r="H22" s="208"/>
      <c r="I22" s="208"/>
      <c r="J22" s="208"/>
      <c r="K22" s="208"/>
      <c r="L22" s="209"/>
      <c r="M22" s="196">
        <f t="shared" si="0"/>
        <v>0</v>
      </c>
      <c r="N22" s="197">
        <f t="shared" si="1"/>
        <v>0</v>
      </c>
    </row>
    <row r="23" spans="3:14" ht="16.5" customHeight="1" thickBot="1" x14ac:dyDescent="0.35">
      <c r="C23" s="182">
        <v>3.1</v>
      </c>
      <c r="D23" s="183" t="s">
        <v>188</v>
      </c>
      <c r="E23" s="183"/>
      <c r="F23" s="181"/>
      <c r="G23" s="208"/>
      <c r="H23" s="208"/>
      <c r="I23" s="208"/>
      <c r="J23" s="208"/>
      <c r="K23" s="208"/>
      <c r="L23" s="209"/>
      <c r="M23" s="196">
        <f t="shared" si="0"/>
        <v>0</v>
      </c>
      <c r="N23" s="197">
        <f t="shared" si="1"/>
        <v>0</v>
      </c>
    </row>
    <row r="24" spans="3:14" ht="16.5" customHeight="1" thickBot="1" x14ac:dyDescent="0.35">
      <c r="C24" s="182">
        <v>3.2</v>
      </c>
      <c r="D24" s="183" t="s">
        <v>556</v>
      </c>
      <c r="E24" s="183" t="s">
        <v>3</v>
      </c>
      <c r="F24" s="181"/>
      <c r="G24" s="210">
        <v>0.8</v>
      </c>
      <c r="H24" s="210">
        <f>'12. Detail by source fund'!F69</f>
        <v>11000000</v>
      </c>
      <c r="I24" s="212">
        <v>1</v>
      </c>
      <c r="J24" s="210">
        <f>H24*1.2</f>
        <v>13200000</v>
      </c>
      <c r="K24" s="212">
        <v>1</v>
      </c>
      <c r="L24" s="211">
        <f>J24*1.2</f>
        <v>15840000</v>
      </c>
      <c r="M24" s="196">
        <v>1</v>
      </c>
      <c r="N24" s="197">
        <f t="shared" si="1"/>
        <v>40040000</v>
      </c>
    </row>
    <row r="25" spans="3:14" ht="16.5" customHeight="1" thickBot="1" x14ac:dyDescent="0.35">
      <c r="C25" s="182">
        <v>3.3</v>
      </c>
      <c r="D25" s="183" t="s">
        <v>189</v>
      </c>
      <c r="E25" s="183"/>
      <c r="F25" s="181"/>
      <c r="G25" s="208">
        <v>1</v>
      </c>
      <c r="H25" s="208"/>
      <c r="I25" s="208"/>
      <c r="J25" s="955">
        <v>0</v>
      </c>
      <c r="K25" s="955">
        <v>0</v>
      </c>
      <c r="L25" s="954">
        <v>0</v>
      </c>
      <c r="M25" s="196">
        <v>0</v>
      </c>
      <c r="N25" s="197">
        <f t="shared" si="1"/>
        <v>0</v>
      </c>
    </row>
    <row r="26" spans="3:14" ht="16.5" customHeight="1" thickBot="1" x14ac:dyDescent="0.35">
      <c r="C26" s="182">
        <v>3.4</v>
      </c>
      <c r="D26" s="183" t="s">
        <v>190</v>
      </c>
      <c r="E26" s="183"/>
      <c r="F26" s="181"/>
      <c r="G26" s="208"/>
      <c r="H26" s="208"/>
      <c r="I26" s="208"/>
      <c r="J26" s="208"/>
      <c r="K26" s="208"/>
      <c r="L26" s="209"/>
      <c r="M26" s="196">
        <f t="shared" si="0"/>
        <v>0</v>
      </c>
      <c r="N26" s="197">
        <f t="shared" si="1"/>
        <v>0</v>
      </c>
    </row>
    <row r="27" spans="3:14" ht="16.5" customHeight="1" thickBot="1" x14ac:dyDescent="0.35">
      <c r="C27" s="182">
        <v>4</v>
      </c>
      <c r="D27" s="183" t="s">
        <v>191</v>
      </c>
      <c r="E27" s="183"/>
      <c r="F27" s="181"/>
      <c r="G27" s="208"/>
      <c r="H27" s="208"/>
      <c r="I27" s="208"/>
      <c r="J27" s="208"/>
      <c r="K27" s="208"/>
      <c r="L27" s="209"/>
      <c r="M27" s="196">
        <f t="shared" si="0"/>
        <v>0</v>
      </c>
      <c r="N27" s="197">
        <f t="shared" si="1"/>
        <v>0</v>
      </c>
    </row>
    <row r="28" spans="3:14" ht="16.5" customHeight="1" thickBot="1" x14ac:dyDescent="0.35">
      <c r="C28" s="182">
        <v>4.0999999999999996</v>
      </c>
      <c r="D28" s="183" t="s">
        <v>192</v>
      </c>
      <c r="E28" s="183" t="s">
        <v>3</v>
      </c>
      <c r="F28" s="181"/>
      <c r="G28" s="208">
        <v>1</v>
      </c>
      <c r="H28" s="210">
        <f>'12. Detail by source fund'!F50</f>
        <v>5065074.3099999996</v>
      </c>
      <c r="I28" s="208">
        <v>2</v>
      </c>
      <c r="J28" s="210">
        <v>15015611.789999999</v>
      </c>
      <c r="K28" s="208">
        <v>3</v>
      </c>
      <c r="L28" s="211">
        <v>17206712.82</v>
      </c>
      <c r="M28" s="196">
        <f t="shared" si="0"/>
        <v>6</v>
      </c>
      <c r="N28" s="197">
        <f t="shared" si="1"/>
        <v>37287398.920000002</v>
      </c>
    </row>
    <row r="29" spans="3:14" s="1888" customFormat="1" ht="16.5" customHeight="1" thickBot="1" x14ac:dyDescent="0.35">
      <c r="C29" s="1881">
        <v>4.2</v>
      </c>
      <c r="D29" s="1882" t="s">
        <v>193</v>
      </c>
      <c r="E29" s="1882" t="s">
        <v>3</v>
      </c>
      <c r="F29" s="1883"/>
      <c r="G29" s="1884">
        <v>1</v>
      </c>
      <c r="H29" s="1885">
        <f>'12. Detail by source fund'!F66</f>
        <v>7998959.3799999999</v>
      </c>
      <c r="I29" s="1884"/>
      <c r="J29" s="1885"/>
      <c r="K29" s="1884"/>
      <c r="L29" s="1885"/>
      <c r="M29" s="1886">
        <f t="shared" si="0"/>
        <v>1</v>
      </c>
      <c r="N29" s="1887">
        <f t="shared" si="1"/>
        <v>7998959.3799999999</v>
      </c>
    </row>
    <row r="30" spans="3:14" ht="16.5" customHeight="1" thickBot="1" x14ac:dyDescent="0.35">
      <c r="C30" s="182">
        <v>4.3</v>
      </c>
      <c r="D30" s="183" t="s">
        <v>194</v>
      </c>
      <c r="E30" s="183" t="s">
        <v>3</v>
      </c>
      <c r="F30" s="181"/>
      <c r="G30" s="208">
        <v>4</v>
      </c>
      <c r="H30" s="210">
        <f>'12. Detail by source fund'!F46+'12. Detail by source fund'!F47+'12. Detail by source fund'!F48+'12. Detail by source fund'!F49</f>
        <v>4319915.63</v>
      </c>
      <c r="I30" s="208">
        <v>5</v>
      </c>
      <c r="J30" s="210">
        <f>H30*1.18</f>
        <v>5097500.4433999993</v>
      </c>
      <c r="K30" s="208">
        <v>6</v>
      </c>
      <c r="L30" s="211">
        <f>J30*1.17</f>
        <v>5964075.5187779991</v>
      </c>
      <c r="M30" s="196">
        <f t="shared" si="0"/>
        <v>15</v>
      </c>
      <c r="N30" s="197">
        <f t="shared" si="1"/>
        <v>15381491.592177998</v>
      </c>
    </row>
    <row r="31" spans="3:14" ht="16.5" customHeight="1" thickBot="1" x14ac:dyDescent="0.35">
      <c r="C31" s="182">
        <v>4.4000000000000004</v>
      </c>
      <c r="D31" s="183" t="s">
        <v>195</v>
      </c>
      <c r="E31" s="183" t="s">
        <v>3</v>
      </c>
      <c r="F31" s="181"/>
      <c r="G31" s="185">
        <v>2</v>
      </c>
      <c r="H31" s="201">
        <f>'12. Detail by source fund'!F64+'12. Detail by source fund'!F65</f>
        <v>1440317.23</v>
      </c>
      <c r="I31" s="185"/>
      <c r="J31" s="201"/>
      <c r="K31" s="185"/>
      <c r="L31" s="202"/>
      <c r="M31" s="196">
        <f t="shared" si="0"/>
        <v>2</v>
      </c>
      <c r="N31" s="197">
        <f t="shared" si="1"/>
        <v>1440317.23</v>
      </c>
    </row>
    <row r="32" spans="3:14" ht="16.5" customHeight="1" thickBot="1" x14ac:dyDescent="0.35">
      <c r="C32" s="182">
        <v>5</v>
      </c>
      <c r="D32" s="183" t="s">
        <v>196</v>
      </c>
      <c r="E32" s="189"/>
      <c r="F32" s="190"/>
      <c r="G32" s="191"/>
      <c r="H32" s="190"/>
      <c r="I32" s="190"/>
      <c r="J32" s="190"/>
      <c r="K32" s="190"/>
      <c r="L32" s="190"/>
      <c r="M32" s="196">
        <f t="shared" si="0"/>
        <v>0</v>
      </c>
      <c r="N32" s="197">
        <f t="shared" si="1"/>
        <v>0</v>
      </c>
    </row>
    <row r="33" spans="3:14" s="1888" customFormat="1" ht="16.2" thickBot="1" x14ac:dyDescent="0.35">
      <c r="C33" s="1881">
        <v>5.0999999999999996</v>
      </c>
      <c r="D33" s="1882" t="s">
        <v>175</v>
      </c>
      <c r="E33" s="1889" t="s">
        <v>517</v>
      </c>
      <c r="F33" s="1883"/>
      <c r="G33" s="1890">
        <v>2.4</v>
      </c>
      <c r="H33" s="1891">
        <f>'12. Detail by source fund'!F43</f>
        <v>6573707.2599999998</v>
      </c>
      <c r="I33" s="1883">
        <v>2.8</v>
      </c>
      <c r="J33" s="1891">
        <f>H33*1.18</f>
        <v>7756974.5667999992</v>
      </c>
      <c r="K33" s="1883">
        <v>3.6</v>
      </c>
      <c r="L33" s="1891">
        <f>J33*1.17</f>
        <v>9075660.2431559991</v>
      </c>
      <c r="M33" s="1886">
        <f>G33+I33+K33</f>
        <v>8.7999999999999989</v>
      </c>
      <c r="N33" s="1887">
        <f t="shared" si="1"/>
        <v>23406342.069955997</v>
      </c>
    </row>
    <row r="34" spans="3:14" ht="16.2" thickBot="1" x14ac:dyDescent="0.35">
      <c r="C34" s="182">
        <v>5.2</v>
      </c>
      <c r="D34" s="183" t="s">
        <v>177</v>
      </c>
      <c r="E34" s="189" t="s">
        <v>3</v>
      </c>
      <c r="F34" s="181"/>
      <c r="G34" s="213"/>
      <c r="H34" s="206"/>
      <c r="I34" s="206"/>
      <c r="J34" s="181"/>
      <c r="K34" s="181"/>
      <c r="L34" s="214"/>
      <c r="M34" s="196">
        <f t="shared" si="0"/>
        <v>0</v>
      </c>
      <c r="N34" s="197">
        <f t="shared" si="1"/>
        <v>0</v>
      </c>
    </row>
    <row r="35" spans="3:14" ht="16.5" customHeight="1" thickBot="1" x14ac:dyDescent="0.35">
      <c r="C35" s="215">
        <v>6</v>
      </c>
      <c r="D35" s="216" t="s">
        <v>197</v>
      </c>
      <c r="E35" s="217"/>
      <c r="F35" s="181"/>
      <c r="G35" s="213"/>
      <c r="H35" s="181"/>
      <c r="I35" s="181"/>
      <c r="J35" s="181"/>
      <c r="K35" s="181"/>
      <c r="L35" s="218"/>
      <c r="M35" s="196">
        <f t="shared" si="0"/>
        <v>0</v>
      </c>
      <c r="N35" s="197">
        <f t="shared" si="1"/>
        <v>0</v>
      </c>
    </row>
    <row r="36" spans="3:14" ht="16.2" thickBot="1" x14ac:dyDescent="0.35">
      <c r="C36" s="215">
        <v>6.1</v>
      </c>
      <c r="D36" s="216" t="s">
        <v>198</v>
      </c>
      <c r="E36" s="219"/>
      <c r="F36" s="181"/>
      <c r="G36" s="208"/>
      <c r="H36" s="208"/>
      <c r="I36" s="208"/>
      <c r="J36" s="208"/>
      <c r="K36" s="208"/>
      <c r="L36" s="220"/>
      <c r="M36" s="196">
        <f t="shared" si="0"/>
        <v>0</v>
      </c>
      <c r="N36" s="197">
        <f t="shared" si="1"/>
        <v>0</v>
      </c>
    </row>
    <row r="37" spans="3:14" ht="16.5" customHeight="1" thickBot="1" x14ac:dyDescent="0.35">
      <c r="C37" s="215">
        <v>6.2</v>
      </c>
      <c r="D37" s="216" t="s">
        <v>199</v>
      </c>
      <c r="E37" s="216"/>
      <c r="F37" s="181"/>
      <c r="G37" s="208"/>
      <c r="H37" s="208"/>
      <c r="I37" s="208"/>
      <c r="J37" s="208"/>
      <c r="K37" s="208"/>
      <c r="L37" s="220"/>
      <c r="M37" s="196">
        <f t="shared" si="0"/>
        <v>0</v>
      </c>
      <c r="N37" s="197">
        <f t="shared" si="1"/>
        <v>0</v>
      </c>
    </row>
    <row r="38" spans="3:14" ht="16.5" customHeight="1" thickBot="1" x14ac:dyDescent="0.35">
      <c r="C38" s="215">
        <v>7</v>
      </c>
      <c r="D38" s="216" t="s">
        <v>200</v>
      </c>
      <c r="E38" s="216"/>
      <c r="F38" s="181"/>
      <c r="G38" s="208"/>
      <c r="H38" s="208"/>
      <c r="I38" s="208"/>
      <c r="J38" s="208"/>
      <c r="K38" s="208"/>
      <c r="L38" s="220"/>
      <c r="M38" s="196">
        <f t="shared" si="0"/>
        <v>0</v>
      </c>
      <c r="N38" s="197">
        <f t="shared" si="1"/>
        <v>0</v>
      </c>
    </row>
    <row r="39" spans="3:14" ht="16.5" customHeight="1" thickBot="1" x14ac:dyDescent="0.35">
      <c r="C39" s="215">
        <v>7.1</v>
      </c>
      <c r="D39" s="216" t="s">
        <v>201</v>
      </c>
      <c r="E39" s="216"/>
      <c r="F39" s="181"/>
      <c r="G39" s="208"/>
      <c r="H39" s="208"/>
      <c r="I39" s="208"/>
      <c r="J39" s="208"/>
      <c r="K39" s="208"/>
      <c r="L39" s="220"/>
      <c r="M39" s="196">
        <f t="shared" si="0"/>
        <v>0</v>
      </c>
      <c r="N39" s="197">
        <f t="shared" si="1"/>
        <v>0</v>
      </c>
    </row>
    <row r="40" spans="3:14" ht="16.5" customHeight="1" thickBot="1" x14ac:dyDescent="0.35">
      <c r="C40" s="215">
        <v>7.2</v>
      </c>
      <c r="D40" s="216" t="s">
        <v>202</v>
      </c>
      <c r="E40" s="216"/>
      <c r="F40" s="181"/>
      <c r="G40" s="208"/>
      <c r="H40" s="208"/>
      <c r="I40" s="208"/>
      <c r="J40" s="208"/>
      <c r="K40" s="208"/>
      <c r="L40" s="220"/>
      <c r="M40" s="196">
        <f t="shared" si="0"/>
        <v>0</v>
      </c>
      <c r="N40" s="197">
        <f t="shared" si="1"/>
        <v>0</v>
      </c>
    </row>
    <row r="41" spans="3:14" s="99" customFormat="1" ht="16.5" customHeight="1" thickBot="1" x14ac:dyDescent="0.35">
      <c r="C41" s="221"/>
      <c r="D41" s="222" t="s">
        <v>203</v>
      </c>
      <c r="E41" s="222"/>
      <c r="F41" s="223"/>
      <c r="G41" s="224"/>
      <c r="H41" s="224">
        <f>SUM(H8:H40)</f>
        <v>120019208.71000001</v>
      </c>
      <c r="I41" s="224"/>
      <c r="J41" s="224">
        <f>SUM(J8:J40)</f>
        <v>133075035.08899999</v>
      </c>
      <c r="K41" s="224"/>
      <c r="L41" s="224">
        <f>SUM(L8:L40)</f>
        <v>157455462.87982997</v>
      </c>
      <c r="M41" s="196">
        <f t="shared" si="0"/>
        <v>0</v>
      </c>
      <c r="N41" s="197">
        <f t="shared" si="1"/>
        <v>410549706.67882997</v>
      </c>
    </row>
    <row r="42" spans="3:14" ht="16.5" customHeight="1" thickBot="1" x14ac:dyDescent="0.35">
      <c r="C42" s="179" t="s">
        <v>2</v>
      </c>
      <c r="D42" s="225" t="s">
        <v>160</v>
      </c>
      <c r="E42" s="180"/>
      <c r="F42" s="181"/>
      <c r="G42" s="208"/>
      <c r="H42" s="208"/>
      <c r="I42" s="208"/>
      <c r="J42" s="208"/>
      <c r="K42" s="208"/>
      <c r="L42" s="208"/>
      <c r="M42" s="196">
        <f t="shared" si="0"/>
        <v>0</v>
      </c>
      <c r="N42" s="197">
        <f t="shared" si="1"/>
        <v>0</v>
      </c>
    </row>
    <row r="43" spans="3:14" ht="16.5" customHeight="1" thickBot="1" x14ac:dyDescent="0.35">
      <c r="C43" s="182">
        <v>1</v>
      </c>
      <c r="D43" s="183" t="s">
        <v>204</v>
      </c>
      <c r="E43" s="183"/>
      <c r="F43" s="181"/>
      <c r="G43" s="208"/>
      <c r="H43" s="208"/>
      <c r="I43" s="208"/>
      <c r="J43" s="208"/>
      <c r="K43" s="208"/>
      <c r="L43" s="209"/>
      <c r="M43" s="196">
        <f t="shared" si="0"/>
        <v>0</v>
      </c>
      <c r="N43" s="197">
        <f t="shared" si="1"/>
        <v>0</v>
      </c>
    </row>
    <row r="44" spans="3:14" ht="16.5" customHeight="1" thickBot="1" x14ac:dyDescent="0.35">
      <c r="C44" s="182">
        <v>1.1000000000000001</v>
      </c>
      <c r="D44" s="183" t="s">
        <v>205</v>
      </c>
      <c r="E44" s="183"/>
      <c r="F44" s="181"/>
      <c r="G44" s="208"/>
      <c r="H44" s="208"/>
      <c r="I44" s="208"/>
      <c r="J44" s="208"/>
      <c r="K44" s="208"/>
      <c r="L44" s="209"/>
      <c r="M44" s="196">
        <f t="shared" si="0"/>
        <v>0</v>
      </c>
      <c r="N44" s="197">
        <f t="shared" si="1"/>
        <v>0</v>
      </c>
    </row>
    <row r="45" spans="3:14" ht="16.2" thickBot="1" x14ac:dyDescent="0.35">
      <c r="C45" s="182">
        <v>1.2</v>
      </c>
      <c r="D45" s="183" t="s">
        <v>206</v>
      </c>
      <c r="E45" s="183"/>
      <c r="F45" s="181"/>
      <c r="G45" s="208"/>
      <c r="H45" s="208"/>
      <c r="I45" s="208"/>
      <c r="J45" s="208"/>
      <c r="K45" s="208"/>
      <c r="L45" s="209"/>
      <c r="M45" s="196">
        <f t="shared" si="0"/>
        <v>0</v>
      </c>
      <c r="N45" s="197">
        <f t="shared" si="1"/>
        <v>0</v>
      </c>
    </row>
    <row r="46" spans="3:14" ht="16.5" customHeight="1" thickBot="1" x14ac:dyDescent="0.35">
      <c r="C46" s="182">
        <v>2</v>
      </c>
      <c r="D46" s="183" t="s">
        <v>207</v>
      </c>
      <c r="E46" s="183"/>
      <c r="F46" s="181"/>
      <c r="G46" s="208">
        <v>1</v>
      </c>
      <c r="H46" s="208"/>
      <c r="I46" s="208"/>
      <c r="J46" s="208"/>
      <c r="K46" s="208"/>
      <c r="L46" s="209"/>
      <c r="M46" s="196">
        <f t="shared" si="0"/>
        <v>1</v>
      </c>
      <c r="N46" s="197">
        <f t="shared" si="1"/>
        <v>0</v>
      </c>
    </row>
    <row r="47" spans="3:14" ht="16.5" customHeight="1" thickBot="1" x14ac:dyDescent="0.35">
      <c r="C47" s="182">
        <v>2.1</v>
      </c>
      <c r="D47" s="183" t="s">
        <v>205</v>
      </c>
      <c r="E47" s="183" t="s">
        <v>517</v>
      </c>
      <c r="F47" s="181"/>
      <c r="G47" s="208">
        <v>3.45</v>
      </c>
      <c r="H47" s="210">
        <f>'12. Detail by source fund'!F88</f>
        <v>1000000</v>
      </c>
      <c r="I47" s="208"/>
      <c r="J47" s="208"/>
      <c r="K47" s="208"/>
      <c r="L47" s="209"/>
      <c r="M47" s="196">
        <f t="shared" si="0"/>
        <v>3.45</v>
      </c>
      <c r="N47" s="197">
        <f t="shared" si="1"/>
        <v>1000000</v>
      </c>
    </row>
    <row r="48" spans="3:14" ht="16.2" thickBot="1" x14ac:dyDescent="0.35">
      <c r="C48" s="182">
        <v>2.2000000000000002</v>
      </c>
      <c r="D48" s="183" t="s">
        <v>206</v>
      </c>
      <c r="E48" s="183"/>
      <c r="F48" s="181"/>
      <c r="G48" s="208"/>
      <c r="H48" s="208"/>
      <c r="I48" s="208"/>
      <c r="J48" s="208"/>
      <c r="K48" s="208"/>
      <c r="L48" s="209"/>
      <c r="M48" s="196">
        <f t="shared" si="0"/>
        <v>0</v>
      </c>
      <c r="N48" s="197">
        <f t="shared" si="1"/>
        <v>0</v>
      </c>
    </row>
    <row r="49" spans="3:14" ht="31.5" customHeight="1" thickBot="1" x14ac:dyDescent="0.35">
      <c r="C49" s="179"/>
      <c r="D49" s="180" t="s">
        <v>208</v>
      </c>
      <c r="E49" s="180"/>
      <c r="F49" s="181"/>
      <c r="G49" s="208">
        <v>3.45</v>
      </c>
      <c r="H49" s="210">
        <f>H47</f>
        <v>1000000</v>
      </c>
      <c r="I49" s="210">
        <f t="shared" ref="I49:N49" si="2">I47</f>
        <v>0</v>
      </c>
      <c r="J49" s="210">
        <f t="shared" si="2"/>
        <v>0</v>
      </c>
      <c r="K49" s="210">
        <f t="shared" si="2"/>
        <v>0</v>
      </c>
      <c r="L49" s="210">
        <f t="shared" si="2"/>
        <v>0</v>
      </c>
      <c r="M49" s="210">
        <f t="shared" si="2"/>
        <v>3.45</v>
      </c>
      <c r="N49" s="210">
        <f t="shared" si="2"/>
        <v>1000000</v>
      </c>
    </row>
    <row r="50" spans="3:14" ht="16.5" customHeight="1" thickBot="1" x14ac:dyDescent="0.35">
      <c r="C50" s="179" t="s">
        <v>161</v>
      </c>
      <c r="D50" s="225" t="s">
        <v>162</v>
      </c>
      <c r="E50" s="180"/>
      <c r="F50" s="181"/>
      <c r="G50" s="208"/>
      <c r="H50" s="208"/>
      <c r="I50" s="208"/>
      <c r="J50" s="208"/>
      <c r="K50" s="208"/>
      <c r="L50" s="208"/>
      <c r="M50" s="196">
        <f t="shared" si="0"/>
        <v>0</v>
      </c>
      <c r="N50" s="197">
        <f t="shared" si="1"/>
        <v>0</v>
      </c>
    </row>
    <row r="51" spans="3:14" ht="16.2" thickBot="1" x14ac:dyDescent="0.35">
      <c r="C51" s="182">
        <v>1</v>
      </c>
      <c r="D51" s="183" t="s">
        <v>209</v>
      </c>
      <c r="E51" s="183"/>
      <c r="F51" s="181"/>
      <c r="G51" s="208"/>
      <c r="H51" s="208"/>
      <c r="I51" s="208"/>
      <c r="J51" s="208"/>
      <c r="K51" s="208"/>
      <c r="L51" s="209"/>
      <c r="M51" s="196">
        <f t="shared" si="0"/>
        <v>0</v>
      </c>
      <c r="N51" s="197">
        <f t="shared" si="1"/>
        <v>0</v>
      </c>
    </row>
    <row r="52" spans="3:14" ht="16.5" customHeight="1" thickBot="1" x14ac:dyDescent="0.35">
      <c r="C52" s="182">
        <v>1.1000000000000001</v>
      </c>
      <c r="D52" s="183" t="s">
        <v>205</v>
      </c>
      <c r="E52" s="183"/>
      <c r="F52" s="181"/>
      <c r="G52" s="208"/>
      <c r="H52" s="208"/>
      <c r="I52" s="208"/>
      <c r="J52" s="208"/>
      <c r="K52" s="208"/>
      <c r="L52" s="209"/>
      <c r="M52" s="196">
        <f t="shared" si="0"/>
        <v>0</v>
      </c>
      <c r="N52" s="197">
        <f t="shared" si="1"/>
        <v>0</v>
      </c>
    </row>
    <row r="53" spans="3:14" ht="16.2" thickBot="1" x14ac:dyDescent="0.35">
      <c r="C53" s="182">
        <v>1.2</v>
      </c>
      <c r="D53" s="183" t="s">
        <v>206</v>
      </c>
      <c r="E53" s="183"/>
      <c r="F53" s="181"/>
      <c r="G53" s="208"/>
      <c r="H53" s="208"/>
      <c r="I53" s="208"/>
      <c r="J53" s="208"/>
      <c r="K53" s="208"/>
      <c r="L53" s="209"/>
      <c r="M53" s="196">
        <f t="shared" si="0"/>
        <v>0</v>
      </c>
      <c r="N53" s="197">
        <f t="shared" si="1"/>
        <v>0</v>
      </c>
    </row>
    <row r="54" spans="3:14" s="1888" customFormat="1" ht="16.2" thickBot="1" x14ac:dyDescent="0.35">
      <c r="C54" s="1881">
        <v>2</v>
      </c>
      <c r="D54" s="1882" t="s">
        <v>412</v>
      </c>
      <c r="E54" s="1882"/>
      <c r="F54" s="1883"/>
      <c r="G54" s="1885">
        <v>1</v>
      </c>
      <c r="H54" s="1885">
        <f>'13. Detailed AAP '!J186</f>
        <v>5000000</v>
      </c>
      <c r="I54" s="1892">
        <v>1</v>
      </c>
      <c r="J54" s="1885">
        <f>H54*1.18</f>
        <v>5900000</v>
      </c>
      <c r="K54" s="1885">
        <v>1</v>
      </c>
      <c r="L54" s="1885">
        <f>J54*1.17</f>
        <v>6903000</v>
      </c>
      <c r="M54" s="1886">
        <f t="shared" si="0"/>
        <v>3</v>
      </c>
      <c r="N54" s="1887">
        <f t="shared" si="1"/>
        <v>17803000</v>
      </c>
    </row>
    <row r="55" spans="3:14" ht="16.5" customHeight="1" thickBot="1" x14ac:dyDescent="0.35">
      <c r="C55" s="182">
        <v>2.1</v>
      </c>
      <c r="D55" s="183" t="s">
        <v>205</v>
      </c>
      <c r="E55" s="183"/>
      <c r="F55" s="181"/>
      <c r="G55" s="208"/>
      <c r="H55" s="208"/>
      <c r="I55" s="208"/>
      <c r="J55" s="208"/>
      <c r="K55" s="208"/>
      <c r="L55" s="209"/>
      <c r="M55" s="196">
        <f t="shared" si="0"/>
        <v>0</v>
      </c>
      <c r="N55" s="197">
        <f t="shared" si="1"/>
        <v>0</v>
      </c>
    </row>
    <row r="56" spans="3:14" ht="16.2" thickBot="1" x14ac:dyDescent="0.35">
      <c r="C56" s="182">
        <v>2.2000000000000002</v>
      </c>
      <c r="D56" s="184" t="s">
        <v>206</v>
      </c>
      <c r="E56" s="183"/>
      <c r="F56" s="181"/>
      <c r="G56" s="208"/>
      <c r="H56" s="208"/>
      <c r="I56" s="208"/>
      <c r="J56" s="208"/>
      <c r="K56" s="208"/>
      <c r="L56" s="209"/>
      <c r="M56" s="196">
        <f t="shared" si="0"/>
        <v>0</v>
      </c>
      <c r="N56" s="197">
        <f t="shared" si="1"/>
        <v>0</v>
      </c>
    </row>
    <row r="57" spans="3:14" ht="16.2" thickBot="1" x14ac:dyDescent="0.35">
      <c r="C57" s="219">
        <v>3</v>
      </c>
      <c r="D57" s="218" t="s">
        <v>210</v>
      </c>
      <c r="E57" s="226"/>
      <c r="F57" s="181"/>
      <c r="G57" s="185"/>
      <c r="H57" s="201"/>
      <c r="I57" s="201"/>
      <c r="J57" s="185"/>
      <c r="K57" s="185"/>
      <c r="L57" s="227"/>
      <c r="M57" s="196">
        <f t="shared" si="0"/>
        <v>0</v>
      </c>
      <c r="N57" s="197">
        <f t="shared" si="1"/>
        <v>0</v>
      </c>
    </row>
    <row r="58" spans="3:14" ht="16.2" thickBot="1" x14ac:dyDescent="0.35">
      <c r="C58" s="219">
        <v>3.1</v>
      </c>
      <c r="D58" s="219" t="s">
        <v>243</v>
      </c>
      <c r="E58" s="217" t="s">
        <v>3</v>
      </c>
      <c r="F58" s="181"/>
      <c r="G58" s="229"/>
      <c r="H58" s="206"/>
      <c r="I58" s="206"/>
      <c r="J58" s="206"/>
      <c r="K58" s="206"/>
      <c r="L58" s="206"/>
      <c r="M58" s="196">
        <f t="shared" si="0"/>
        <v>0</v>
      </c>
      <c r="N58" s="197">
        <f t="shared" si="1"/>
        <v>0</v>
      </c>
    </row>
    <row r="59" spans="3:14" ht="16.2" thickBot="1" x14ac:dyDescent="0.35">
      <c r="C59" s="215">
        <v>3.2</v>
      </c>
      <c r="D59" s="219" t="s">
        <v>242</v>
      </c>
      <c r="E59" s="219" t="s">
        <v>3</v>
      </c>
      <c r="F59" s="181"/>
      <c r="G59" s="210">
        <v>0</v>
      </c>
      <c r="H59" s="210">
        <v>0</v>
      </c>
      <c r="I59" s="210"/>
      <c r="J59" s="208"/>
      <c r="K59" s="208"/>
      <c r="L59" s="220"/>
      <c r="M59" s="196">
        <f t="shared" si="0"/>
        <v>0</v>
      </c>
      <c r="N59" s="197">
        <f t="shared" si="1"/>
        <v>0</v>
      </c>
    </row>
    <row r="60" spans="3:14" ht="16.2" thickBot="1" x14ac:dyDescent="0.35">
      <c r="C60" s="215">
        <v>3.3</v>
      </c>
      <c r="D60" s="216" t="s">
        <v>206</v>
      </c>
      <c r="E60" s="216"/>
      <c r="F60" s="181"/>
      <c r="G60" s="208"/>
      <c r="H60" s="208"/>
      <c r="I60" s="208"/>
      <c r="J60" s="208"/>
      <c r="K60" s="208"/>
      <c r="L60" s="220"/>
      <c r="M60" s="196">
        <f t="shared" si="0"/>
        <v>0</v>
      </c>
      <c r="N60" s="197">
        <f t="shared" si="1"/>
        <v>0</v>
      </c>
    </row>
    <row r="61" spans="3:14" ht="16.5" customHeight="1" thickBot="1" x14ac:dyDescent="0.35">
      <c r="C61" s="215">
        <v>4</v>
      </c>
      <c r="D61" s="216" t="s">
        <v>211</v>
      </c>
      <c r="E61" s="216" t="s">
        <v>3</v>
      </c>
      <c r="F61" s="181"/>
      <c r="G61" s="210"/>
      <c r="H61" s="210"/>
      <c r="I61" s="210"/>
      <c r="J61" s="210"/>
      <c r="K61" s="210"/>
      <c r="L61" s="210"/>
      <c r="M61" s="196">
        <f t="shared" si="0"/>
        <v>0</v>
      </c>
      <c r="N61" s="197">
        <f t="shared" si="1"/>
        <v>0</v>
      </c>
    </row>
    <row r="62" spans="3:14" ht="16.5" customHeight="1" thickBot="1" x14ac:dyDescent="0.35">
      <c r="C62" s="215">
        <v>4.0999999999999996</v>
      </c>
      <c r="D62" s="216" t="s">
        <v>205</v>
      </c>
      <c r="E62" s="216"/>
      <c r="F62" s="181"/>
      <c r="G62" s="208"/>
      <c r="H62" s="208"/>
      <c r="I62" s="208"/>
      <c r="J62" s="208"/>
      <c r="K62" s="208"/>
      <c r="L62" s="220"/>
      <c r="M62" s="196">
        <f t="shared" si="0"/>
        <v>0</v>
      </c>
      <c r="N62" s="197">
        <f t="shared" si="1"/>
        <v>0</v>
      </c>
    </row>
    <row r="63" spans="3:14" ht="16.2" thickBot="1" x14ac:dyDescent="0.35">
      <c r="C63" s="215">
        <v>4.2</v>
      </c>
      <c r="D63" s="216" t="s">
        <v>206</v>
      </c>
      <c r="E63" s="216"/>
      <c r="F63" s="181"/>
      <c r="G63" s="208"/>
      <c r="H63" s="208"/>
      <c r="I63" s="208"/>
      <c r="J63" s="208"/>
      <c r="K63" s="208"/>
      <c r="L63" s="220"/>
      <c r="M63" s="196">
        <f t="shared" si="0"/>
        <v>0</v>
      </c>
      <c r="N63" s="197">
        <f t="shared" si="1"/>
        <v>0</v>
      </c>
    </row>
    <row r="64" spans="3:14" ht="16.2" thickBot="1" x14ac:dyDescent="0.35">
      <c r="C64" s="215">
        <v>5</v>
      </c>
      <c r="D64" s="216" t="s">
        <v>212</v>
      </c>
      <c r="E64" s="216"/>
      <c r="F64" s="181"/>
      <c r="G64" s="208"/>
      <c r="H64" s="208"/>
      <c r="I64" s="208"/>
      <c r="J64" s="208"/>
      <c r="K64" s="208"/>
      <c r="L64" s="220"/>
      <c r="M64" s="196">
        <f t="shared" si="0"/>
        <v>0</v>
      </c>
      <c r="N64" s="197">
        <f t="shared" si="1"/>
        <v>0</v>
      </c>
    </row>
    <row r="65" spans="3:14" ht="16.5" customHeight="1" thickBot="1" x14ac:dyDescent="0.35">
      <c r="C65" s="182">
        <v>5.0999999999999996</v>
      </c>
      <c r="D65" s="183" t="s">
        <v>205</v>
      </c>
      <c r="E65" s="183"/>
      <c r="F65" s="181"/>
      <c r="G65" s="208"/>
      <c r="H65" s="208"/>
      <c r="I65" s="208"/>
      <c r="J65" s="208"/>
      <c r="K65" s="208"/>
      <c r="L65" s="209"/>
      <c r="M65" s="196">
        <f t="shared" si="0"/>
        <v>0</v>
      </c>
      <c r="N65" s="197">
        <f t="shared" si="1"/>
        <v>0</v>
      </c>
    </row>
    <row r="66" spans="3:14" ht="16.2" thickBot="1" x14ac:dyDescent="0.35">
      <c r="C66" s="182">
        <v>5.2</v>
      </c>
      <c r="D66" s="183" t="s">
        <v>206</v>
      </c>
      <c r="E66" s="183"/>
      <c r="F66" s="181"/>
      <c r="G66" s="208"/>
      <c r="H66" s="208"/>
      <c r="I66" s="208"/>
      <c r="J66" s="208"/>
      <c r="K66" s="208"/>
      <c r="L66" s="209"/>
      <c r="M66" s="196">
        <f t="shared" si="0"/>
        <v>0</v>
      </c>
      <c r="N66" s="197">
        <f t="shared" si="1"/>
        <v>0</v>
      </c>
    </row>
    <row r="67" spans="3:14" s="99" customFormat="1" ht="31.5" customHeight="1" thickBot="1" x14ac:dyDescent="0.35">
      <c r="C67" s="221"/>
      <c r="D67" s="222" t="s">
        <v>213</v>
      </c>
      <c r="E67" s="222"/>
      <c r="F67" s="230">
        <f>SUM(F51:F66)</f>
        <v>0</v>
      </c>
      <c r="G67" s="231"/>
      <c r="H67" s="232">
        <f>SUM(H51:H66)</f>
        <v>5000000</v>
      </c>
      <c r="I67" s="232"/>
      <c r="J67" s="232">
        <f>SUM(J51:J66)</f>
        <v>5900000</v>
      </c>
      <c r="K67" s="232"/>
      <c r="L67" s="232">
        <f>SUM(L51:L66)</f>
        <v>6903000</v>
      </c>
      <c r="M67" s="196">
        <f t="shared" si="0"/>
        <v>0</v>
      </c>
      <c r="N67" s="197">
        <f t="shared" si="1"/>
        <v>17803000</v>
      </c>
    </row>
    <row r="68" spans="3:14" ht="16.2" thickBot="1" x14ac:dyDescent="0.35">
      <c r="C68" s="179" t="s">
        <v>165</v>
      </c>
      <c r="D68" s="225" t="s">
        <v>143</v>
      </c>
      <c r="E68" s="180"/>
      <c r="F68" s="181"/>
      <c r="G68" s="208"/>
      <c r="H68" s="208"/>
      <c r="I68" s="208"/>
      <c r="J68" s="208"/>
      <c r="K68" s="208"/>
      <c r="L68" s="208"/>
      <c r="M68" s="196">
        <f t="shared" si="0"/>
        <v>0</v>
      </c>
      <c r="N68" s="197">
        <f t="shared" si="1"/>
        <v>0</v>
      </c>
    </row>
    <row r="69" spans="3:14" ht="16.5" customHeight="1" thickBot="1" x14ac:dyDescent="0.35">
      <c r="C69" s="215">
        <v>1</v>
      </c>
      <c r="D69" s="216" t="s">
        <v>214</v>
      </c>
      <c r="E69" s="216" t="s">
        <v>517</v>
      </c>
      <c r="F69" s="181"/>
      <c r="G69" s="208">
        <v>8</v>
      </c>
      <c r="H69" s="734">
        <f>'12. Detail by source fund'!F84</f>
        <v>3422811.69</v>
      </c>
      <c r="I69" s="220">
        <v>8</v>
      </c>
      <c r="J69" s="734">
        <v>3814297.8</v>
      </c>
      <c r="K69" s="220">
        <v>8</v>
      </c>
      <c r="L69" s="734">
        <f>J69*1.17</f>
        <v>4462728.425999999</v>
      </c>
      <c r="M69" s="196">
        <f t="shared" si="0"/>
        <v>24</v>
      </c>
      <c r="N69" s="197">
        <f t="shared" si="1"/>
        <v>11699837.915999999</v>
      </c>
    </row>
    <row r="70" spans="3:14" ht="16.5" customHeight="1" thickBot="1" x14ac:dyDescent="0.35">
      <c r="C70" s="182" t="s">
        <v>215</v>
      </c>
      <c r="D70" s="183" t="s">
        <v>205</v>
      </c>
      <c r="E70" s="183"/>
      <c r="F70" s="181"/>
      <c r="G70" s="208"/>
      <c r="H70" s="220"/>
      <c r="I70" s="220"/>
      <c r="J70" s="220"/>
      <c r="K70" s="220"/>
      <c r="L70" s="209"/>
      <c r="M70" s="196">
        <f t="shared" si="0"/>
        <v>0</v>
      </c>
      <c r="N70" s="197">
        <f t="shared" si="1"/>
        <v>0</v>
      </c>
    </row>
    <row r="71" spans="3:14" ht="16.2" thickBot="1" x14ac:dyDescent="0.35">
      <c r="C71" s="182">
        <v>1.2</v>
      </c>
      <c r="D71" s="183" t="s">
        <v>206</v>
      </c>
      <c r="E71" s="183"/>
      <c r="F71" s="181"/>
      <c r="G71" s="208"/>
      <c r="H71" s="220"/>
      <c r="I71" s="220"/>
      <c r="J71" s="220"/>
      <c r="K71" s="220"/>
      <c r="L71" s="209"/>
      <c r="M71" s="196">
        <f t="shared" si="0"/>
        <v>0</v>
      </c>
      <c r="N71" s="197">
        <f t="shared" si="1"/>
        <v>0</v>
      </c>
    </row>
    <row r="72" spans="3:14" ht="16.5" customHeight="1" thickBot="1" x14ac:dyDescent="0.35">
      <c r="C72" s="179"/>
      <c r="D72" s="180" t="s">
        <v>216</v>
      </c>
      <c r="E72" s="180"/>
      <c r="F72" s="181"/>
      <c r="G72" s="185"/>
      <c r="H72" s="201">
        <f>H69</f>
        <v>3422811.69</v>
      </c>
      <c r="I72" s="201">
        <f t="shared" ref="I72:N72" si="3">I69</f>
        <v>8</v>
      </c>
      <c r="J72" s="201">
        <f t="shared" si="3"/>
        <v>3814297.8</v>
      </c>
      <c r="K72" s="201">
        <f t="shared" si="3"/>
        <v>8</v>
      </c>
      <c r="L72" s="201">
        <f>L69</f>
        <v>4462728.425999999</v>
      </c>
      <c r="M72" s="201">
        <f t="shared" si="3"/>
        <v>24</v>
      </c>
      <c r="N72" s="201">
        <f t="shared" si="3"/>
        <v>11699837.915999999</v>
      </c>
    </row>
    <row r="73" spans="3:14" ht="33" customHeight="1" thickBot="1" x14ac:dyDescent="0.35">
      <c r="C73" s="2040" t="s">
        <v>217</v>
      </c>
      <c r="D73" s="2041"/>
      <c r="E73" s="2041"/>
      <c r="F73" s="234">
        <f>F67+F41</f>
        <v>0</v>
      </c>
      <c r="G73" s="235"/>
      <c r="H73" s="234">
        <f>H67+H41+H72+H49</f>
        <v>129442020.40000001</v>
      </c>
      <c r="I73" s="234">
        <f t="shared" ref="I73:N73" si="4">I67+I41+I72+I49</f>
        <v>8</v>
      </c>
      <c r="J73" s="234">
        <f t="shared" si="4"/>
        <v>142789332.889</v>
      </c>
      <c r="K73" s="234">
        <f t="shared" si="4"/>
        <v>8</v>
      </c>
      <c r="L73" s="234">
        <f t="shared" si="4"/>
        <v>168821191.30582997</v>
      </c>
      <c r="M73" s="234">
        <f t="shared" si="4"/>
        <v>27.45</v>
      </c>
      <c r="N73" s="234">
        <f t="shared" si="4"/>
        <v>441052544.59482998</v>
      </c>
    </row>
    <row r="74" spans="3:14" ht="16.5" customHeight="1" thickBot="1" x14ac:dyDescent="0.35">
      <c r="C74" s="2038" t="s">
        <v>330</v>
      </c>
      <c r="D74" s="2039"/>
      <c r="E74" s="2039"/>
      <c r="F74" s="236"/>
      <c r="G74" s="237"/>
      <c r="H74" s="238"/>
      <c r="I74" s="239"/>
      <c r="J74" s="239"/>
      <c r="K74" s="239"/>
      <c r="L74" s="239"/>
      <c r="M74" s="196">
        <f t="shared" ref="M74:M130" si="5">G74+I74+K74</f>
        <v>0</v>
      </c>
      <c r="N74" s="197">
        <f t="shared" ref="N74:N136" si="6">H74+J74+L74</f>
        <v>0</v>
      </c>
    </row>
    <row r="75" spans="3:14" ht="16.5" customHeight="1" thickBot="1" x14ac:dyDescent="0.35">
      <c r="C75" s="179" t="s">
        <v>163</v>
      </c>
      <c r="D75" s="225" t="s">
        <v>164</v>
      </c>
      <c r="E75" s="180"/>
      <c r="F75" s="214"/>
      <c r="G75" s="240"/>
      <c r="H75" s="214"/>
      <c r="I75" s="214"/>
      <c r="J75" s="181"/>
      <c r="K75" s="181"/>
      <c r="L75" s="181"/>
      <c r="M75" s="196">
        <f t="shared" si="5"/>
        <v>0</v>
      </c>
      <c r="N75" s="197">
        <f t="shared" si="6"/>
        <v>0</v>
      </c>
    </row>
    <row r="76" spans="3:14" ht="16.2" thickBot="1" x14ac:dyDescent="0.35">
      <c r="C76" s="182">
        <v>1</v>
      </c>
      <c r="D76" s="183" t="s">
        <v>130</v>
      </c>
      <c r="E76" s="183"/>
      <c r="F76" s="214"/>
      <c r="G76" s="240"/>
      <c r="H76" s="214"/>
      <c r="I76" s="214"/>
      <c r="J76" s="214"/>
      <c r="K76" s="214"/>
      <c r="L76" s="214"/>
      <c r="M76" s="196">
        <f t="shared" si="5"/>
        <v>0</v>
      </c>
      <c r="N76" s="197">
        <f t="shared" si="6"/>
        <v>0</v>
      </c>
    </row>
    <row r="77" spans="3:14" ht="16.5" customHeight="1" thickBot="1" x14ac:dyDescent="0.35">
      <c r="C77" s="182">
        <v>1.1000000000000001</v>
      </c>
      <c r="D77" s="183" t="s">
        <v>240</v>
      </c>
      <c r="E77" s="183" t="s">
        <v>97</v>
      </c>
      <c r="F77" s="214"/>
      <c r="G77" s="241">
        <f>'12. Detail by source fund'!E105</f>
        <v>3311</v>
      </c>
      <c r="H77" s="207">
        <f>'12. Detail by source fund'!F105</f>
        <v>13925595.93</v>
      </c>
      <c r="I77" s="207">
        <f>G77*1.13</f>
        <v>3741.43</v>
      </c>
      <c r="J77" s="207">
        <f>H77*1.18</f>
        <v>16432203.197399998</v>
      </c>
      <c r="K77" s="207">
        <f>I77*1.13</f>
        <v>4227.8158999999996</v>
      </c>
      <c r="L77" s="207">
        <f>J77*1.17</f>
        <v>19225677.740957998</v>
      </c>
      <c r="M77" s="196">
        <f t="shared" si="5"/>
        <v>11280.2459</v>
      </c>
      <c r="N77" s="197">
        <f t="shared" si="6"/>
        <v>49583476.868357994</v>
      </c>
    </row>
    <row r="78" spans="3:14" ht="16.5" customHeight="1" thickBot="1" x14ac:dyDescent="0.35">
      <c r="C78" s="182"/>
      <c r="D78" s="735" t="s">
        <v>557</v>
      </c>
      <c r="E78" s="183" t="s">
        <v>97</v>
      </c>
      <c r="F78" s="214"/>
      <c r="G78" s="241">
        <f>'12. Detail by source fund'!E128</f>
        <v>90</v>
      </c>
      <c r="H78" s="207">
        <f>'12. Detail by source fund'!F128</f>
        <v>428733.89</v>
      </c>
      <c r="I78" s="207"/>
      <c r="J78" s="207"/>
      <c r="K78" s="207"/>
      <c r="L78" s="207"/>
      <c r="M78" s="196">
        <f t="shared" si="5"/>
        <v>90</v>
      </c>
      <c r="N78" s="197">
        <f t="shared" si="6"/>
        <v>428733.89</v>
      </c>
    </row>
    <row r="79" spans="3:14" ht="16.5" customHeight="1" thickBot="1" x14ac:dyDescent="0.35">
      <c r="C79" s="182">
        <v>1.2</v>
      </c>
      <c r="D79" s="183" t="s">
        <v>402</v>
      </c>
      <c r="E79" s="183" t="s">
        <v>3</v>
      </c>
      <c r="F79" s="214"/>
      <c r="G79" s="241">
        <v>0</v>
      </c>
      <c r="H79" s="207">
        <v>0</v>
      </c>
      <c r="I79" s="207">
        <f>G79*1.13</f>
        <v>0</v>
      </c>
      <c r="J79" s="207">
        <f>H79*1.18</f>
        <v>0</v>
      </c>
      <c r="K79" s="207">
        <f>I79*1.13</f>
        <v>0</v>
      </c>
      <c r="L79" s="207">
        <f>J79*1.17</f>
        <v>0</v>
      </c>
      <c r="M79" s="196">
        <f t="shared" si="5"/>
        <v>0</v>
      </c>
      <c r="N79" s="197">
        <f t="shared" si="6"/>
        <v>0</v>
      </c>
    </row>
    <row r="80" spans="3:14" ht="16.2" thickBot="1" x14ac:dyDescent="0.35">
      <c r="C80" s="182">
        <v>1.3</v>
      </c>
      <c r="D80" s="183" t="s">
        <v>206</v>
      </c>
      <c r="E80" s="183"/>
      <c r="F80" s="214"/>
      <c r="G80" s="240"/>
      <c r="H80" s="214"/>
      <c r="I80" s="214"/>
      <c r="J80" s="207">
        <f>H80*1.15</f>
        <v>0</v>
      </c>
      <c r="K80" s="214"/>
      <c r="L80" s="207">
        <f>J80*1.15</f>
        <v>0</v>
      </c>
      <c r="M80" s="196">
        <f t="shared" si="5"/>
        <v>0</v>
      </c>
      <c r="N80" s="197">
        <f t="shared" si="6"/>
        <v>0</v>
      </c>
    </row>
    <row r="81" spans="3:14" ht="16.5" customHeight="1" thickBot="1" x14ac:dyDescent="0.35">
      <c r="C81" s="182">
        <v>2</v>
      </c>
      <c r="D81" s="183" t="s">
        <v>413</v>
      </c>
      <c r="E81" s="183"/>
      <c r="F81" s="214"/>
      <c r="G81" s="241">
        <v>0</v>
      </c>
      <c r="H81" s="207">
        <v>0</v>
      </c>
      <c r="I81" s="207">
        <f>G81*1.39</f>
        <v>0</v>
      </c>
      <c r="J81" s="207">
        <f>H81*1.58</f>
        <v>0</v>
      </c>
      <c r="K81" s="207">
        <f>I81*1.09</f>
        <v>0</v>
      </c>
      <c r="L81" s="207">
        <f>J81*1.17</f>
        <v>0</v>
      </c>
      <c r="M81" s="196">
        <f t="shared" si="5"/>
        <v>0</v>
      </c>
      <c r="N81" s="197">
        <f t="shared" si="6"/>
        <v>0</v>
      </c>
    </row>
    <row r="82" spans="3:14" ht="16.5" customHeight="1" thickBot="1" x14ac:dyDescent="0.35">
      <c r="C82" s="182">
        <v>2.1</v>
      </c>
      <c r="D82" s="183" t="s">
        <v>205</v>
      </c>
      <c r="E82" s="183"/>
      <c r="F82" s="214"/>
      <c r="G82" s="263"/>
      <c r="H82" s="214"/>
      <c r="I82" s="214"/>
      <c r="J82" s="214"/>
      <c r="K82" s="214"/>
      <c r="L82" s="214"/>
      <c r="M82" s="196">
        <f t="shared" si="5"/>
        <v>0</v>
      </c>
      <c r="N82" s="197">
        <f t="shared" si="6"/>
        <v>0</v>
      </c>
    </row>
    <row r="83" spans="3:14" ht="16.2" thickBot="1" x14ac:dyDescent="0.35">
      <c r="C83" s="182">
        <v>2.2000000000000002</v>
      </c>
      <c r="D83" s="183" t="s">
        <v>206</v>
      </c>
      <c r="E83" s="183"/>
      <c r="F83" s="214"/>
      <c r="G83" s="240"/>
      <c r="H83" s="214"/>
      <c r="I83" s="214"/>
      <c r="J83" s="214"/>
      <c r="K83" s="214"/>
      <c r="L83" s="214"/>
      <c r="M83" s="196">
        <f t="shared" si="5"/>
        <v>0</v>
      </c>
      <c r="N83" s="197">
        <f t="shared" si="6"/>
        <v>0</v>
      </c>
    </row>
    <row r="84" spans="3:14" ht="16.5" customHeight="1" thickBot="1" x14ac:dyDescent="0.35">
      <c r="C84" s="182">
        <v>3</v>
      </c>
      <c r="D84" s="183" t="s">
        <v>219</v>
      </c>
      <c r="E84" s="183"/>
      <c r="F84" s="214"/>
      <c r="G84" s="240"/>
      <c r="H84" s="214"/>
      <c r="I84" s="214"/>
      <c r="J84" s="214"/>
      <c r="K84" s="214"/>
      <c r="L84" s="214"/>
      <c r="M84" s="196">
        <f t="shared" si="5"/>
        <v>0</v>
      </c>
      <c r="N84" s="197">
        <f t="shared" si="6"/>
        <v>0</v>
      </c>
    </row>
    <row r="85" spans="3:14" s="1888" customFormat="1" ht="16.2" thickBot="1" x14ac:dyDescent="0.35">
      <c r="C85" s="1881">
        <v>3.1</v>
      </c>
      <c r="D85" s="1882" t="s">
        <v>1054</v>
      </c>
      <c r="E85" s="1882" t="s">
        <v>3</v>
      </c>
      <c r="F85" s="1883"/>
      <c r="G85" s="1885">
        <v>1</v>
      </c>
      <c r="H85" s="1885">
        <v>4018603.09</v>
      </c>
      <c r="I85" s="1885">
        <v>1</v>
      </c>
      <c r="J85" s="1893">
        <f>H85*1.18</f>
        <v>4741951.6461999994</v>
      </c>
      <c r="K85" s="1885">
        <v>1</v>
      </c>
      <c r="L85" s="1893">
        <f>J85*1.17</f>
        <v>5548083.426053999</v>
      </c>
      <c r="M85" s="1886">
        <f>G85+I85+K85</f>
        <v>3</v>
      </c>
      <c r="N85" s="1887">
        <f>H85+J85+L85</f>
        <v>14308638.162253998</v>
      </c>
    </row>
    <row r="86" spans="3:14" ht="16.2" thickBot="1" x14ac:dyDescent="0.35">
      <c r="C86" s="182">
        <v>3.2</v>
      </c>
      <c r="D86" s="1882" t="s">
        <v>1055</v>
      </c>
      <c r="E86" s="1882" t="s">
        <v>3</v>
      </c>
      <c r="F86" s="1883"/>
      <c r="G86" s="1885">
        <v>1</v>
      </c>
      <c r="H86" s="1885">
        <v>4018603.09</v>
      </c>
      <c r="I86" s="214"/>
      <c r="J86" s="214"/>
      <c r="K86" s="214"/>
      <c r="L86" s="214"/>
      <c r="M86" s="196">
        <f t="shared" si="5"/>
        <v>1</v>
      </c>
      <c r="N86" s="197">
        <f t="shared" si="6"/>
        <v>4018603.09</v>
      </c>
    </row>
    <row r="87" spans="3:14" ht="16.5" customHeight="1" thickBot="1" x14ac:dyDescent="0.35">
      <c r="C87" s="182">
        <v>4</v>
      </c>
      <c r="D87" s="183" t="s">
        <v>220</v>
      </c>
      <c r="E87" s="183"/>
      <c r="F87" s="214"/>
      <c r="G87" s="240"/>
      <c r="H87" s="214"/>
      <c r="I87" s="214"/>
      <c r="J87" s="214"/>
      <c r="K87" s="214"/>
      <c r="L87" s="214"/>
      <c r="M87" s="196">
        <f t="shared" si="5"/>
        <v>0</v>
      </c>
      <c r="N87" s="197">
        <f t="shared" si="6"/>
        <v>0</v>
      </c>
    </row>
    <row r="88" spans="3:14" ht="16.5" customHeight="1" thickBot="1" x14ac:dyDescent="0.35">
      <c r="C88" s="182">
        <v>4.0999999999999996</v>
      </c>
      <c r="D88" s="183" t="s">
        <v>1056</v>
      </c>
      <c r="E88" s="1882" t="s">
        <v>3</v>
      </c>
      <c r="F88" s="214"/>
      <c r="G88" s="240">
        <v>2</v>
      </c>
      <c r="H88" s="207">
        <f>'12. Detail by source fund'!F110</f>
        <v>11029538.92</v>
      </c>
      <c r="I88" s="214"/>
      <c r="J88" s="214"/>
      <c r="K88" s="214"/>
      <c r="L88" s="214"/>
      <c r="M88" s="196">
        <f t="shared" si="5"/>
        <v>2</v>
      </c>
      <c r="N88" s="197">
        <f t="shared" si="6"/>
        <v>11029538.92</v>
      </c>
    </row>
    <row r="89" spans="3:14" ht="16.2" thickBot="1" x14ac:dyDescent="0.35">
      <c r="C89" s="182">
        <v>4.2</v>
      </c>
      <c r="D89" s="183" t="s">
        <v>206</v>
      </c>
      <c r="E89" s="183"/>
      <c r="F89" s="214"/>
      <c r="G89" s="240"/>
      <c r="H89" s="214"/>
      <c r="I89" s="214"/>
      <c r="J89" s="214"/>
      <c r="K89" s="214"/>
      <c r="L89" s="214"/>
      <c r="M89" s="196">
        <f t="shared" si="5"/>
        <v>0</v>
      </c>
      <c r="N89" s="197">
        <f t="shared" si="6"/>
        <v>0</v>
      </c>
    </row>
    <row r="90" spans="3:14" ht="16.5" customHeight="1" thickBot="1" x14ac:dyDescent="0.35">
      <c r="C90" s="182">
        <v>5</v>
      </c>
      <c r="D90" s="183" t="s">
        <v>221</v>
      </c>
      <c r="E90" s="183"/>
      <c r="F90" s="214"/>
      <c r="G90" s="241"/>
      <c r="H90" s="207"/>
      <c r="I90" s="207"/>
      <c r="J90" s="207"/>
      <c r="K90" s="207"/>
      <c r="L90" s="207"/>
      <c r="M90" s="196">
        <f t="shared" si="5"/>
        <v>0</v>
      </c>
      <c r="N90" s="197">
        <f t="shared" si="6"/>
        <v>0</v>
      </c>
    </row>
    <row r="91" spans="3:14" ht="16.5" customHeight="1" thickBot="1" x14ac:dyDescent="0.35">
      <c r="C91" s="182">
        <v>5.0999999999999996</v>
      </c>
      <c r="D91" s="183" t="s">
        <v>559</v>
      </c>
      <c r="E91" s="183" t="s">
        <v>10</v>
      </c>
      <c r="F91" s="214"/>
      <c r="G91" s="263"/>
      <c r="H91" s="207"/>
      <c r="I91" s="207">
        <v>16950</v>
      </c>
      <c r="J91" s="207">
        <v>4542850.55</v>
      </c>
      <c r="K91" s="207">
        <f>I91*1.13</f>
        <v>19153.5</v>
      </c>
      <c r="L91" s="207">
        <f>J91*1.17</f>
        <v>5315135.1434999993</v>
      </c>
      <c r="M91" s="196">
        <f t="shared" si="5"/>
        <v>36103.5</v>
      </c>
      <c r="N91" s="197">
        <f t="shared" si="6"/>
        <v>9857985.6934999991</v>
      </c>
    </row>
    <row r="92" spans="3:14" ht="16.2" thickBot="1" x14ac:dyDescent="0.35">
      <c r="C92" s="182">
        <v>5.2</v>
      </c>
      <c r="D92" s="183" t="s">
        <v>558</v>
      </c>
      <c r="E92" s="183" t="s">
        <v>10</v>
      </c>
      <c r="F92" s="214"/>
      <c r="G92" s="1108">
        <f>'12. Detail by source fund'!E119</f>
        <v>22000</v>
      </c>
      <c r="H92" s="207">
        <f>'12. Detail by source fund'!F119+'12. Detail by source fund'!F122+'12. Detail by source fund'!F125</f>
        <v>6173499.5300000003</v>
      </c>
      <c r="I92" s="214"/>
      <c r="J92" s="214"/>
      <c r="K92" s="214"/>
      <c r="L92" s="214"/>
      <c r="M92" s="196">
        <f t="shared" si="5"/>
        <v>22000</v>
      </c>
      <c r="N92" s="197">
        <f t="shared" si="6"/>
        <v>6173499.5300000003</v>
      </c>
    </row>
    <row r="93" spans="3:14" ht="16.5" customHeight="1" thickBot="1" x14ac:dyDescent="0.35">
      <c r="C93" s="182">
        <v>6</v>
      </c>
      <c r="D93" s="183" t="s">
        <v>241</v>
      </c>
      <c r="E93" s="183" t="s">
        <v>10</v>
      </c>
      <c r="F93" s="214"/>
      <c r="G93" s="241"/>
      <c r="H93" s="207"/>
      <c r="I93" s="207"/>
      <c r="J93" s="207"/>
      <c r="K93" s="207"/>
      <c r="L93" s="207"/>
      <c r="M93" s="196">
        <f t="shared" si="5"/>
        <v>0</v>
      </c>
      <c r="N93" s="197">
        <f t="shared" si="6"/>
        <v>0</v>
      </c>
    </row>
    <row r="94" spans="3:14" ht="16.5" customHeight="1" thickBot="1" x14ac:dyDescent="0.35">
      <c r="C94" s="182">
        <v>6.1</v>
      </c>
      <c r="D94" s="183" t="s">
        <v>205</v>
      </c>
      <c r="E94" s="183"/>
      <c r="F94" s="214"/>
      <c r="G94" s="240"/>
      <c r="H94" s="214"/>
      <c r="I94" s="214"/>
      <c r="J94" s="214"/>
      <c r="K94" s="214"/>
      <c r="L94" s="214"/>
      <c r="M94" s="196">
        <f t="shared" si="5"/>
        <v>0</v>
      </c>
      <c r="N94" s="197">
        <f t="shared" si="6"/>
        <v>0</v>
      </c>
    </row>
    <row r="95" spans="3:14" ht="16.2" thickBot="1" x14ac:dyDescent="0.35">
      <c r="C95" s="182">
        <v>6.2</v>
      </c>
      <c r="D95" s="183" t="s">
        <v>206</v>
      </c>
      <c r="E95" s="183"/>
      <c r="F95" s="214"/>
      <c r="G95" s="240"/>
      <c r="H95" s="214"/>
      <c r="I95" s="214"/>
      <c r="J95" s="214"/>
      <c r="K95" s="214"/>
      <c r="L95" s="214"/>
      <c r="M95" s="196">
        <f t="shared" si="5"/>
        <v>0</v>
      </c>
      <c r="N95" s="197">
        <f t="shared" si="6"/>
        <v>0</v>
      </c>
    </row>
    <row r="96" spans="3:14" ht="31.5" customHeight="1" thickBot="1" x14ac:dyDescent="0.35">
      <c r="C96" s="182">
        <v>7</v>
      </c>
      <c r="D96" s="183" t="s">
        <v>222</v>
      </c>
      <c r="E96" s="183"/>
      <c r="F96" s="214"/>
      <c r="G96" s="240"/>
      <c r="H96" s="214"/>
      <c r="I96" s="214"/>
      <c r="J96" s="214"/>
      <c r="K96" s="214"/>
      <c r="L96" s="214"/>
      <c r="M96" s="196">
        <f t="shared" si="5"/>
        <v>0</v>
      </c>
      <c r="N96" s="197">
        <f t="shared" si="6"/>
        <v>0</v>
      </c>
    </row>
    <row r="97" spans="3:14" ht="16.5" customHeight="1" thickBot="1" x14ac:dyDescent="0.35">
      <c r="C97" s="182">
        <v>7.1</v>
      </c>
      <c r="D97" s="183" t="s">
        <v>205</v>
      </c>
      <c r="E97" s="183"/>
      <c r="F97" s="214"/>
      <c r="G97" s="240"/>
      <c r="H97" s="214"/>
      <c r="I97" s="214"/>
      <c r="J97" s="214"/>
      <c r="K97" s="214"/>
      <c r="L97" s="214"/>
      <c r="M97" s="196">
        <f t="shared" si="5"/>
        <v>0</v>
      </c>
      <c r="N97" s="197">
        <f t="shared" si="6"/>
        <v>0</v>
      </c>
    </row>
    <row r="98" spans="3:14" ht="16.2" thickBot="1" x14ac:dyDescent="0.35">
      <c r="C98" s="182">
        <v>7.2</v>
      </c>
      <c r="D98" s="183" t="s">
        <v>206</v>
      </c>
      <c r="E98" s="183"/>
      <c r="F98" s="214"/>
      <c r="G98" s="240"/>
      <c r="H98" s="214"/>
      <c r="I98" s="214"/>
      <c r="J98" s="214"/>
      <c r="K98" s="214"/>
      <c r="L98" s="214"/>
      <c r="M98" s="196">
        <f t="shared" si="5"/>
        <v>0</v>
      </c>
      <c r="N98" s="197">
        <f t="shared" si="6"/>
        <v>0</v>
      </c>
    </row>
    <row r="99" spans="3:14" s="99" customFormat="1" ht="31.5" customHeight="1" thickBot="1" x14ac:dyDescent="0.35">
      <c r="C99" s="221"/>
      <c r="D99" s="222" t="s">
        <v>223</v>
      </c>
      <c r="E99" s="222"/>
      <c r="F99" s="242"/>
      <c r="G99" s="243"/>
      <c r="H99" s="242">
        <f>SUM(H77:H98)</f>
        <v>39594574.450000003</v>
      </c>
      <c r="I99" s="242">
        <f t="shared" ref="I99:N99" si="7">SUM(I77:I98)</f>
        <v>20692.43</v>
      </c>
      <c r="J99" s="242">
        <f t="shared" si="7"/>
        <v>25717005.393599998</v>
      </c>
      <c r="K99" s="242">
        <f t="shared" si="7"/>
        <v>23382.315900000001</v>
      </c>
      <c r="L99" s="242">
        <f t="shared" si="7"/>
        <v>30088896.310511999</v>
      </c>
      <c r="M99" s="242">
        <f t="shared" si="7"/>
        <v>69479.745900000009</v>
      </c>
      <c r="N99" s="242">
        <f t="shared" si="7"/>
        <v>95400476.154111996</v>
      </c>
    </row>
    <row r="100" spans="3:14" ht="16.2" thickBot="1" x14ac:dyDescent="0.35">
      <c r="C100" s="179" t="s">
        <v>165</v>
      </c>
      <c r="D100" s="225" t="s">
        <v>143</v>
      </c>
      <c r="E100" s="180"/>
      <c r="F100" s="190"/>
      <c r="G100" s="191"/>
      <c r="H100" s="190"/>
      <c r="I100" s="190"/>
      <c r="J100" s="190"/>
      <c r="K100" s="190"/>
      <c r="L100" s="190"/>
      <c r="M100" s="196">
        <f t="shared" si="5"/>
        <v>0</v>
      </c>
      <c r="N100" s="197">
        <f t="shared" si="6"/>
        <v>0</v>
      </c>
    </row>
    <row r="101" spans="3:14" ht="16.5" customHeight="1" thickBot="1" x14ac:dyDescent="0.35">
      <c r="C101" s="2044" t="s">
        <v>225</v>
      </c>
      <c r="D101" s="2045"/>
      <c r="E101" s="2045"/>
      <c r="F101" s="2045"/>
      <c r="G101" s="2051"/>
      <c r="H101" s="249">
        <f>H99</f>
        <v>39594574.450000003</v>
      </c>
      <c r="I101" s="249">
        <v>0</v>
      </c>
      <c r="J101" s="249">
        <f>J99</f>
        <v>25717005.393599998</v>
      </c>
      <c r="K101" s="249">
        <v>0</v>
      </c>
      <c r="L101" s="249">
        <f>L99</f>
        <v>30088896.310511999</v>
      </c>
      <c r="M101" s="196">
        <f t="shared" si="5"/>
        <v>0</v>
      </c>
      <c r="N101" s="197">
        <f t="shared" si="6"/>
        <v>95400476.154112011</v>
      </c>
    </row>
    <row r="102" spans="3:14" ht="16.5" customHeight="1" thickBot="1" x14ac:dyDescent="0.35">
      <c r="C102" s="2042" t="s">
        <v>230</v>
      </c>
      <c r="D102" s="2042"/>
      <c r="E102" s="2042"/>
      <c r="F102" s="2042"/>
      <c r="G102" s="2043"/>
      <c r="H102" s="172"/>
      <c r="I102" s="169"/>
      <c r="J102" s="250"/>
      <c r="K102" s="250"/>
      <c r="L102" s="250"/>
      <c r="M102" s="196">
        <f t="shared" si="5"/>
        <v>0</v>
      </c>
      <c r="N102" s="197">
        <f t="shared" si="6"/>
        <v>0</v>
      </c>
    </row>
    <row r="103" spans="3:14" ht="16.5" customHeight="1" thickBot="1" x14ac:dyDescent="0.35">
      <c r="C103" s="179" t="s">
        <v>161</v>
      </c>
      <c r="D103" s="180" t="s">
        <v>162</v>
      </c>
      <c r="E103" s="180"/>
      <c r="F103" s="244"/>
      <c r="G103" s="251"/>
      <c r="H103" s="244"/>
      <c r="I103" s="252"/>
      <c r="J103" s="253"/>
      <c r="K103" s="254"/>
      <c r="L103" s="255"/>
      <c r="M103" s="196">
        <f t="shared" si="5"/>
        <v>0</v>
      </c>
      <c r="N103" s="197">
        <f t="shared" si="6"/>
        <v>0</v>
      </c>
    </row>
    <row r="104" spans="3:14" ht="31.5" customHeight="1" thickBot="1" x14ac:dyDescent="0.35">
      <c r="C104" s="182">
        <v>1</v>
      </c>
      <c r="D104" s="183" t="s">
        <v>226</v>
      </c>
      <c r="E104" s="183" t="s">
        <v>3</v>
      </c>
      <c r="F104" s="255"/>
      <c r="G104" s="256"/>
      <c r="H104" s="257"/>
      <c r="I104" s="257"/>
      <c r="J104" s="257"/>
      <c r="K104" s="257"/>
      <c r="L104" s="257"/>
      <c r="M104" s="196">
        <f t="shared" si="5"/>
        <v>0</v>
      </c>
      <c r="N104" s="197">
        <f t="shared" si="6"/>
        <v>0</v>
      </c>
    </row>
    <row r="105" spans="3:14" ht="16.5" customHeight="1" thickBot="1" x14ac:dyDescent="0.35">
      <c r="C105" s="182">
        <v>1.1000000000000001</v>
      </c>
      <c r="D105" s="183" t="s">
        <v>205</v>
      </c>
      <c r="E105" s="183"/>
      <c r="F105" s="255"/>
      <c r="G105" s="258"/>
      <c r="H105" s="255"/>
      <c r="I105" s="259"/>
      <c r="J105" s="260"/>
      <c r="K105" s="240"/>
      <c r="L105" s="255"/>
      <c r="M105" s="196">
        <f t="shared" si="5"/>
        <v>0</v>
      </c>
      <c r="N105" s="197">
        <f t="shared" si="6"/>
        <v>0</v>
      </c>
    </row>
    <row r="106" spans="3:14" ht="16.2" thickBot="1" x14ac:dyDescent="0.35">
      <c r="C106" s="182">
        <v>1.2</v>
      </c>
      <c r="D106" s="183" t="s">
        <v>206</v>
      </c>
      <c r="E106" s="183"/>
      <c r="F106" s="255"/>
      <c r="G106" s="258"/>
      <c r="H106" s="255"/>
      <c r="I106" s="259"/>
      <c r="J106" s="260"/>
      <c r="K106" s="240"/>
      <c r="L106" s="255"/>
      <c r="M106" s="196">
        <f t="shared" si="5"/>
        <v>0</v>
      </c>
      <c r="N106" s="197">
        <f t="shared" si="6"/>
        <v>0</v>
      </c>
    </row>
    <row r="107" spans="3:14" ht="16.5" customHeight="1" thickBot="1" x14ac:dyDescent="0.35">
      <c r="C107" s="182">
        <v>2</v>
      </c>
      <c r="D107" s="183" t="s">
        <v>227</v>
      </c>
      <c r="E107" s="183" t="s">
        <v>3</v>
      </c>
      <c r="F107" s="255"/>
      <c r="G107" s="256"/>
      <c r="H107" s="257"/>
      <c r="I107" s="257"/>
      <c r="J107" s="257"/>
      <c r="K107" s="257"/>
      <c r="L107" s="257"/>
      <c r="M107" s="196">
        <f t="shared" si="5"/>
        <v>0</v>
      </c>
      <c r="N107" s="197">
        <f t="shared" si="6"/>
        <v>0</v>
      </c>
    </row>
    <row r="108" spans="3:14" ht="16.5" customHeight="1" thickBot="1" x14ac:dyDescent="0.35">
      <c r="C108" s="182">
        <v>2.1</v>
      </c>
      <c r="D108" s="183" t="s">
        <v>544</v>
      </c>
      <c r="E108" s="183" t="s">
        <v>3</v>
      </c>
      <c r="F108" s="255"/>
      <c r="G108" s="258">
        <v>0</v>
      </c>
      <c r="H108" s="257">
        <v>0</v>
      </c>
      <c r="I108" s="259">
        <f>G108*1.39</f>
        <v>0</v>
      </c>
      <c r="J108" s="262">
        <f>H108*1.64</f>
        <v>0</v>
      </c>
      <c r="K108" s="240">
        <f>I108*1.09</f>
        <v>0</v>
      </c>
      <c r="L108" s="257">
        <f>J108*1.1</f>
        <v>0</v>
      </c>
      <c r="M108" s="196">
        <f t="shared" si="5"/>
        <v>0</v>
      </c>
      <c r="N108" s="197">
        <f t="shared" si="6"/>
        <v>0</v>
      </c>
    </row>
    <row r="109" spans="3:14" ht="16.2" thickBot="1" x14ac:dyDescent="0.35">
      <c r="C109" s="182">
        <v>2.2000000000000002</v>
      </c>
      <c r="D109" s="183" t="s">
        <v>206</v>
      </c>
      <c r="E109" s="183"/>
      <c r="F109" s="255"/>
      <c r="G109" s="258"/>
      <c r="H109" s="255"/>
      <c r="I109" s="259"/>
      <c r="J109" s="260"/>
      <c r="K109" s="240"/>
      <c r="L109" s="255"/>
      <c r="M109" s="196">
        <f t="shared" si="5"/>
        <v>0</v>
      </c>
      <c r="N109" s="197">
        <f t="shared" si="6"/>
        <v>0</v>
      </c>
    </row>
    <row r="110" spans="3:14" ht="31.5" customHeight="1" thickBot="1" x14ac:dyDescent="0.35">
      <c r="C110" s="179"/>
      <c r="D110" s="222" t="s">
        <v>228</v>
      </c>
      <c r="E110" s="180"/>
      <c r="F110" s="230">
        <f t="shared" ref="F110:L110" si="8">SUM(F104:F109)</f>
        <v>0</v>
      </c>
      <c r="G110" s="248">
        <f t="shared" si="8"/>
        <v>0</v>
      </c>
      <c r="H110" s="233">
        <f>SUM(H104:H109)</f>
        <v>0</v>
      </c>
      <c r="I110" s="233">
        <f t="shared" si="8"/>
        <v>0</v>
      </c>
      <c r="J110" s="233">
        <f t="shared" si="8"/>
        <v>0</v>
      </c>
      <c r="K110" s="233">
        <f t="shared" si="8"/>
        <v>0</v>
      </c>
      <c r="L110" s="233">
        <f t="shared" si="8"/>
        <v>0</v>
      </c>
      <c r="M110" s="196">
        <f t="shared" si="5"/>
        <v>0</v>
      </c>
      <c r="N110" s="197">
        <f t="shared" si="6"/>
        <v>0</v>
      </c>
    </row>
    <row r="111" spans="3:14" ht="16.5" customHeight="1" thickBot="1" x14ac:dyDescent="0.35">
      <c r="C111" s="179" t="s">
        <v>163</v>
      </c>
      <c r="D111" s="180" t="s">
        <v>164</v>
      </c>
      <c r="E111" s="180"/>
      <c r="F111" s="244"/>
      <c r="G111" s="251"/>
      <c r="H111" s="244"/>
      <c r="I111" s="252"/>
      <c r="J111" s="253"/>
      <c r="K111" s="254"/>
      <c r="L111" s="255"/>
      <c r="M111" s="196">
        <f t="shared" si="5"/>
        <v>0</v>
      </c>
      <c r="N111" s="197">
        <f t="shared" si="6"/>
        <v>0</v>
      </c>
    </row>
    <row r="112" spans="3:14" ht="31.5" customHeight="1" thickBot="1" x14ac:dyDescent="0.35">
      <c r="C112" s="182">
        <v>1</v>
      </c>
      <c r="D112" s="183" t="s">
        <v>229</v>
      </c>
      <c r="E112" s="183" t="s">
        <v>97</v>
      </c>
      <c r="F112" s="255"/>
      <c r="G112" s="100"/>
      <c r="H112" s="257"/>
      <c r="I112" s="261"/>
      <c r="J112" s="262"/>
      <c r="K112" s="263"/>
      <c r="L112" s="257"/>
      <c r="M112" s="196">
        <f t="shared" si="5"/>
        <v>0</v>
      </c>
      <c r="N112" s="197">
        <f t="shared" si="6"/>
        <v>0</v>
      </c>
    </row>
    <row r="113" spans="3:16" ht="16.5" customHeight="1" thickBot="1" x14ac:dyDescent="0.35">
      <c r="C113" s="182">
        <v>1.1000000000000001</v>
      </c>
      <c r="D113" s="183" t="s">
        <v>560</v>
      </c>
      <c r="E113" s="183" t="s">
        <v>97</v>
      </c>
      <c r="F113" s="255"/>
      <c r="G113" s="256"/>
      <c r="H113" s="257"/>
      <c r="I113" s="261">
        <v>282.5</v>
      </c>
      <c r="J113" s="262">
        <v>12963397.279999999</v>
      </c>
      <c r="K113" s="263">
        <f>I113*1.13</f>
        <v>319.22499999999997</v>
      </c>
      <c r="L113" s="257">
        <f>J113*1.17-4196307.11</f>
        <v>10970867.707599998</v>
      </c>
      <c r="M113" s="196">
        <f t="shared" si="5"/>
        <v>601.72499999999991</v>
      </c>
      <c r="N113" s="197">
        <f t="shared" si="6"/>
        <v>23934264.987599999</v>
      </c>
    </row>
    <row r="114" spans="3:16" ht="16.2" thickBot="1" x14ac:dyDescent="0.35">
      <c r="C114" s="182">
        <v>1.2</v>
      </c>
      <c r="D114" s="183" t="s">
        <v>561</v>
      </c>
      <c r="E114" s="183" t="s">
        <v>97</v>
      </c>
      <c r="F114" s="255"/>
      <c r="G114" s="256">
        <f>'12. Detail by source fund'!E141</f>
        <v>330</v>
      </c>
      <c r="H114" s="257">
        <f>'12. Detail by source fund'!F141</f>
        <v>11189679.970000001</v>
      </c>
      <c r="I114" s="259"/>
      <c r="J114" s="260"/>
      <c r="K114" s="240"/>
      <c r="L114" s="255"/>
      <c r="M114" s="196">
        <f t="shared" si="5"/>
        <v>330</v>
      </c>
      <c r="N114" s="197">
        <f t="shared" si="6"/>
        <v>11189679.970000001</v>
      </c>
      <c r="P114" s="288">
        <f>N101+N115</f>
        <v>130524421.11171201</v>
      </c>
    </row>
    <row r="115" spans="3:16" s="99" customFormat="1" ht="31.5" customHeight="1" thickBot="1" x14ac:dyDescent="0.35">
      <c r="C115" s="221"/>
      <c r="D115" s="222" t="s">
        <v>223</v>
      </c>
      <c r="E115" s="222"/>
      <c r="F115" s="264">
        <f>F112</f>
        <v>0</v>
      </c>
      <c r="G115" s="265">
        <f>G112</f>
        <v>0</v>
      </c>
      <c r="H115" s="266">
        <f>H113+H114</f>
        <v>11189679.970000001</v>
      </c>
      <c r="I115" s="266">
        <f>I113+I114</f>
        <v>282.5</v>
      </c>
      <c r="J115" s="266">
        <f>J113+J114</f>
        <v>12963397.279999999</v>
      </c>
      <c r="K115" s="266">
        <f>K113+K114</f>
        <v>319.22499999999997</v>
      </c>
      <c r="L115" s="266">
        <f>L113+L114</f>
        <v>10970867.707599998</v>
      </c>
      <c r="M115" s="196">
        <f t="shared" si="5"/>
        <v>601.72499999999991</v>
      </c>
      <c r="N115" s="197">
        <f t="shared" si="6"/>
        <v>35123944.957599998</v>
      </c>
    </row>
    <row r="116" spans="3:16" ht="16.2" thickBot="1" x14ac:dyDescent="0.35">
      <c r="C116" s="179" t="s">
        <v>165</v>
      </c>
      <c r="D116" s="180" t="s">
        <v>143</v>
      </c>
      <c r="E116" s="180"/>
      <c r="F116" s="244"/>
      <c r="G116" s="251"/>
      <c r="H116" s="244"/>
      <c r="I116" s="252"/>
      <c r="J116" s="253">
        <v>0</v>
      </c>
      <c r="K116" s="254">
        <v>0</v>
      </c>
      <c r="L116" s="255">
        <v>0</v>
      </c>
      <c r="M116" s="196">
        <f t="shared" si="5"/>
        <v>0</v>
      </c>
      <c r="N116" s="197">
        <f t="shared" si="6"/>
        <v>0</v>
      </c>
    </row>
    <row r="117" spans="3:16" ht="16.2" thickBot="1" x14ac:dyDescent="0.35">
      <c r="C117" s="215">
        <v>1</v>
      </c>
      <c r="D117" s="216"/>
      <c r="E117" s="216"/>
      <c r="F117" s="247"/>
      <c r="G117" s="267"/>
      <c r="H117" s="247"/>
      <c r="I117" s="268"/>
      <c r="J117" s="269"/>
      <c r="K117" s="270"/>
      <c r="L117" s="255"/>
      <c r="M117" s="196">
        <f t="shared" si="5"/>
        <v>0</v>
      </c>
      <c r="N117" s="197">
        <f t="shared" si="6"/>
        <v>0</v>
      </c>
    </row>
    <row r="118" spans="3:16" ht="16.2" thickBot="1" x14ac:dyDescent="0.35">
      <c r="C118" s="215">
        <v>1.1000000000000001</v>
      </c>
      <c r="D118" s="216"/>
      <c r="E118" s="216"/>
      <c r="F118" s="247"/>
      <c r="G118" s="267"/>
      <c r="H118" s="247"/>
      <c r="I118" s="268"/>
      <c r="J118" s="269"/>
      <c r="K118" s="270"/>
      <c r="L118" s="255"/>
      <c r="M118" s="196">
        <f t="shared" si="5"/>
        <v>0</v>
      </c>
      <c r="N118" s="197">
        <f t="shared" si="6"/>
        <v>0</v>
      </c>
    </row>
    <row r="119" spans="3:16" ht="16.5" customHeight="1" thickBot="1" x14ac:dyDescent="0.35">
      <c r="C119" s="179"/>
      <c r="D119" s="180" t="s">
        <v>224</v>
      </c>
      <c r="E119" s="180"/>
      <c r="F119" s="244"/>
      <c r="G119" s="251"/>
      <c r="H119" s="244"/>
      <c r="I119" s="252"/>
      <c r="J119" s="253"/>
      <c r="K119" s="254"/>
      <c r="L119" s="255"/>
      <c r="M119" s="196">
        <f t="shared" si="5"/>
        <v>0</v>
      </c>
      <c r="N119" s="197">
        <f t="shared" si="6"/>
        <v>0</v>
      </c>
    </row>
    <row r="120" spans="3:16" ht="16.5" customHeight="1" thickBot="1" x14ac:dyDescent="0.35">
      <c r="C120" s="2044" t="s">
        <v>434</v>
      </c>
      <c r="D120" s="2045"/>
      <c r="E120" s="2045"/>
      <c r="F120" s="2045"/>
      <c r="G120" s="2046"/>
      <c r="H120" s="234">
        <f>H115+H110</f>
        <v>11189679.970000001</v>
      </c>
      <c r="I120" s="234">
        <v>0</v>
      </c>
      <c r="J120" s="234">
        <f>J115+J110</f>
        <v>12963397.279999999</v>
      </c>
      <c r="K120" s="234">
        <v>0</v>
      </c>
      <c r="L120" s="234">
        <f>L115+L110</f>
        <v>10970867.707599998</v>
      </c>
      <c r="M120" s="196">
        <f t="shared" si="5"/>
        <v>0</v>
      </c>
      <c r="N120" s="197">
        <f t="shared" si="6"/>
        <v>35123944.957599998</v>
      </c>
    </row>
    <row r="121" spans="3:16" ht="16.2" thickBot="1" x14ac:dyDescent="0.35">
      <c r="C121" s="182"/>
      <c r="D121" s="183"/>
      <c r="E121" s="183"/>
      <c r="F121" s="255"/>
      <c r="G121" s="258"/>
      <c r="H121" s="255"/>
      <c r="I121" s="259"/>
      <c r="J121" s="260"/>
      <c r="K121" s="240"/>
      <c r="L121" s="255"/>
      <c r="M121" s="196">
        <f t="shared" si="5"/>
        <v>0</v>
      </c>
      <c r="N121" s="197">
        <f t="shared" si="6"/>
        <v>0</v>
      </c>
    </row>
    <row r="122" spans="3:16" ht="16.2" thickBot="1" x14ac:dyDescent="0.35">
      <c r="C122" s="2048"/>
      <c r="D122" s="2050"/>
      <c r="E122" s="174"/>
      <c r="F122" s="272"/>
      <c r="G122" s="273"/>
      <c r="H122" s="273"/>
      <c r="I122" s="273"/>
      <c r="J122" s="273"/>
      <c r="K122" s="273"/>
      <c r="L122" s="273"/>
      <c r="M122" s="196">
        <f t="shared" si="5"/>
        <v>0</v>
      </c>
      <c r="N122" s="197">
        <f t="shared" si="6"/>
        <v>0</v>
      </c>
    </row>
    <row r="123" spans="3:16" ht="16.2" thickBot="1" x14ac:dyDescent="0.35">
      <c r="C123" s="215">
        <v>1</v>
      </c>
      <c r="D123" s="216"/>
      <c r="E123" s="216"/>
      <c r="F123" s="247"/>
      <c r="G123" s="274"/>
      <c r="H123" s="275"/>
      <c r="I123" s="269"/>
      <c r="J123" s="269"/>
      <c r="K123" s="269"/>
      <c r="L123" s="216"/>
      <c r="M123" s="196">
        <f t="shared" si="5"/>
        <v>0</v>
      </c>
      <c r="N123" s="197">
        <f t="shared" si="6"/>
        <v>0</v>
      </c>
    </row>
    <row r="124" spans="3:16" ht="16.2" thickBot="1" x14ac:dyDescent="0.35">
      <c r="C124" s="215">
        <v>2</v>
      </c>
      <c r="D124" s="216"/>
      <c r="E124" s="216"/>
      <c r="F124" s="247"/>
      <c r="G124" s="276"/>
      <c r="H124" s="277"/>
      <c r="I124" s="226"/>
      <c r="J124" s="226"/>
      <c r="K124" s="226"/>
      <c r="L124" s="228"/>
      <c r="M124" s="196">
        <f t="shared" si="5"/>
        <v>0</v>
      </c>
      <c r="N124" s="197">
        <f t="shared" si="6"/>
        <v>0</v>
      </c>
    </row>
    <row r="125" spans="3:16" ht="16.2" thickBot="1" x14ac:dyDescent="0.35">
      <c r="C125" s="215" t="s">
        <v>231</v>
      </c>
      <c r="D125" s="216"/>
      <c r="E125" s="216"/>
      <c r="F125" s="247"/>
      <c r="G125" s="267"/>
      <c r="H125" s="247"/>
      <c r="I125" s="247"/>
      <c r="J125" s="218"/>
      <c r="K125" s="218"/>
      <c r="L125" s="218"/>
      <c r="M125" s="196">
        <f t="shared" si="5"/>
        <v>0</v>
      </c>
      <c r="N125" s="197">
        <f t="shared" si="6"/>
        <v>0</v>
      </c>
    </row>
    <row r="126" spans="3:16" ht="46.5" customHeight="1" thickBot="1" x14ac:dyDescent="0.35">
      <c r="C126" s="2048" t="s">
        <v>167</v>
      </c>
      <c r="D126" s="2049"/>
      <c r="E126" s="174"/>
      <c r="F126" s="272"/>
      <c r="G126" s="278"/>
      <c r="H126" s="272"/>
      <c r="I126" s="272"/>
      <c r="J126" s="272"/>
      <c r="K126" s="272"/>
      <c r="L126" s="272"/>
      <c r="M126" s="196">
        <f t="shared" si="5"/>
        <v>0</v>
      </c>
      <c r="N126" s="197">
        <f t="shared" si="6"/>
        <v>0</v>
      </c>
    </row>
    <row r="127" spans="3:16" ht="16.2" thickBot="1" x14ac:dyDescent="0.35">
      <c r="C127" s="215">
        <v>1</v>
      </c>
      <c r="D127" s="216" t="s">
        <v>332</v>
      </c>
      <c r="E127" s="216" t="s">
        <v>3</v>
      </c>
      <c r="F127" s="244"/>
      <c r="G127" s="245">
        <v>0</v>
      </c>
      <c r="H127" s="246">
        <v>0</v>
      </c>
      <c r="I127" s="246">
        <v>4</v>
      </c>
      <c r="J127" s="246">
        <v>19840670.399999999</v>
      </c>
      <c r="K127" s="246">
        <v>4</v>
      </c>
      <c r="L127" s="246">
        <v>23808804.48</v>
      </c>
      <c r="M127" s="196">
        <f t="shared" si="5"/>
        <v>8</v>
      </c>
      <c r="N127" s="197">
        <f t="shared" si="6"/>
        <v>43649474.879999995</v>
      </c>
    </row>
    <row r="128" spans="3:16" ht="16.2" thickBot="1" x14ac:dyDescent="0.35">
      <c r="C128" s="215">
        <v>2</v>
      </c>
      <c r="D128" s="216" t="s">
        <v>333</v>
      </c>
      <c r="E128" s="216" t="s">
        <v>3</v>
      </c>
      <c r="F128" s="244"/>
      <c r="G128" s="245">
        <v>4</v>
      </c>
      <c r="H128" s="246">
        <f>'12. Detail by source fund'!F151+'12. Detail by source fund'!F152+'12. Detail by source fund'!F153+'12. Detail by source fund'!F154</f>
        <v>16533892</v>
      </c>
      <c r="I128" s="246"/>
      <c r="J128" s="246"/>
      <c r="K128" s="246"/>
      <c r="L128" s="246">
        <f>J128*1.2</f>
        <v>0</v>
      </c>
      <c r="M128" s="196">
        <f t="shared" si="5"/>
        <v>4</v>
      </c>
      <c r="N128" s="197">
        <f t="shared" si="6"/>
        <v>16533892</v>
      </c>
    </row>
    <row r="129" spans="3:14" ht="16.2" thickBot="1" x14ac:dyDescent="0.35">
      <c r="C129" s="215">
        <v>3</v>
      </c>
      <c r="D129" s="216" t="s">
        <v>611</v>
      </c>
      <c r="E129" s="216" t="s">
        <v>3</v>
      </c>
      <c r="F129" s="244"/>
      <c r="G129" s="245">
        <v>0</v>
      </c>
      <c r="H129" s="246">
        <v>0</v>
      </c>
      <c r="I129" s="246">
        <f>G129*1.39</f>
        <v>0</v>
      </c>
      <c r="J129" s="246">
        <f>H129*1.58</f>
        <v>0</v>
      </c>
      <c r="K129" s="246">
        <f>I129*1.09</f>
        <v>0</v>
      </c>
      <c r="L129" s="246">
        <f>J129*1.17</f>
        <v>0</v>
      </c>
      <c r="M129" s="196">
        <f t="shared" si="5"/>
        <v>0</v>
      </c>
      <c r="N129" s="197">
        <f t="shared" si="6"/>
        <v>0</v>
      </c>
    </row>
    <row r="130" spans="3:14" ht="16.2" thickBot="1" x14ac:dyDescent="0.35">
      <c r="C130" s="215">
        <v>4</v>
      </c>
      <c r="D130" s="216" t="s">
        <v>409</v>
      </c>
      <c r="E130" s="216" t="s">
        <v>3</v>
      </c>
      <c r="F130" s="244"/>
      <c r="G130" s="245">
        <v>0</v>
      </c>
      <c r="H130" s="246">
        <v>0</v>
      </c>
      <c r="I130" s="246">
        <f>G130*1.39</f>
        <v>0</v>
      </c>
      <c r="J130" s="246">
        <f>H130*1.58</f>
        <v>0</v>
      </c>
      <c r="K130" s="246">
        <f>I130*1.09</f>
        <v>0</v>
      </c>
      <c r="L130" s="246">
        <f>J130*1.17</f>
        <v>0</v>
      </c>
      <c r="M130" s="196">
        <f t="shared" si="5"/>
        <v>0</v>
      </c>
      <c r="N130" s="197">
        <f t="shared" si="6"/>
        <v>0</v>
      </c>
    </row>
    <row r="131" spans="3:14" ht="16.2" thickBot="1" x14ac:dyDescent="0.35">
      <c r="C131" s="221"/>
      <c r="D131" s="222" t="s">
        <v>224</v>
      </c>
      <c r="E131" s="222"/>
      <c r="F131" s="230">
        <f>SUM(F127:F128)</f>
        <v>0</v>
      </c>
      <c r="G131" s="233">
        <f>SUM(G127:G130)</f>
        <v>4</v>
      </c>
      <c r="H131" s="233">
        <f>SUM(H127:H130)</f>
        <v>16533892</v>
      </c>
      <c r="I131" s="233">
        <f t="shared" ref="I131:N131" si="9">SUM(I127:I130)</f>
        <v>4</v>
      </c>
      <c r="J131" s="233">
        <f t="shared" si="9"/>
        <v>19840670.399999999</v>
      </c>
      <c r="K131" s="233">
        <f t="shared" si="9"/>
        <v>4</v>
      </c>
      <c r="L131" s="233">
        <f t="shared" si="9"/>
        <v>23808804.48</v>
      </c>
      <c r="M131" s="233">
        <f t="shared" si="9"/>
        <v>12</v>
      </c>
      <c r="N131" s="233">
        <f t="shared" si="9"/>
        <v>60183366.879999995</v>
      </c>
    </row>
    <row r="132" spans="3:14" ht="16.2" thickBot="1" x14ac:dyDescent="0.35">
      <c r="C132" s="279"/>
      <c r="D132" s="175"/>
      <c r="E132" s="280"/>
      <c r="F132" s="281"/>
      <c r="G132" s="282"/>
      <c r="H132" s="281"/>
      <c r="I132" s="281"/>
      <c r="J132" s="281"/>
      <c r="K132" s="281"/>
      <c r="L132" s="281"/>
      <c r="M132" s="281"/>
      <c r="N132" s="197">
        <f t="shared" si="6"/>
        <v>0</v>
      </c>
    </row>
    <row r="133" spans="3:14" s="99" customFormat="1" ht="16.5" customHeight="1" thickBot="1" x14ac:dyDescent="0.35">
      <c r="C133" s="283"/>
      <c r="D133" s="284" t="s">
        <v>233</v>
      </c>
      <c r="E133" s="284"/>
      <c r="F133" s="234"/>
      <c r="G133" s="271"/>
      <c r="H133" s="234">
        <f>H131+H120+H101+H73</f>
        <v>196760166.81999999</v>
      </c>
      <c r="I133" s="234"/>
      <c r="J133" s="234">
        <f>J131+J120+J101+J73</f>
        <v>201310405.96259999</v>
      </c>
      <c r="K133" s="234"/>
      <c r="L133" s="234">
        <f>L131+L120+L101+L73</f>
        <v>233689759.80394197</v>
      </c>
      <c r="M133" s="234"/>
      <c r="N133" s="197">
        <f t="shared" si="6"/>
        <v>631760332.58654189</v>
      </c>
    </row>
    <row r="134" spans="3:14" ht="16.2" thickBot="1" x14ac:dyDescent="0.35">
      <c r="C134" s="182"/>
      <c r="D134" s="183"/>
      <c r="E134" s="183"/>
      <c r="F134" s="255"/>
      <c r="G134" s="258"/>
      <c r="H134" s="255"/>
      <c r="I134" s="255"/>
      <c r="J134" s="214"/>
      <c r="K134" s="214"/>
      <c r="L134" s="214"/>
      <c r="M134" s="183"/>
      <c r="N134" s="197">
        <f t="shared" si="6"/>
        <v>0</v>
      </c>
    </row>
    <row r="135" spans="3:14" s="99" customFormat="1" ht="16.2" thickBot="1" x14ac:dyDescent="0.35">
      <c r="C135" s="2040" t="s">
        <v>234</v>
      </c>
      <c r="D135" s="2041"/>
      <c r="E135" s="2041"/>
      <c r="F135" s="285"/>
      <c r="G135" s="286"/>
      <c r="H135" s="234">
        <f>'12. Detail by source fund'!F165</f>
        <v>5040160.0199999996</v>
      </c>
      <c r="I135" s="234"/>
      <c r="J135" s="287">
        <f>H135*1.18</f>
        <v>5947388.8235999988</v>
      </c>
      <c r="K135" s="287"/>
      <c r="L135" s="287">
        <f>J135*1.17</f>
        <v>6958444.9236119986</v>
      </c>
      <c r="M135" s="284"/>
      <c r="N135" s="197">
        <f t="shared" si="6"/>
        <v>17945993.767211996</v>
      </c>
    </row>
    <row r="136" spans="3:14" ht="16.2" thickBot="1" x14ac:dyDescent="0.35">
      <c r="C136" s="182"/>
      <c r="D136" s="183"/>
      <c r="E136" s="183"/>
      <c r="F136" s="255"/>
      <c r="G136" s="258"/>
      <c r="H136" s="255"/>
      <c r="I136" s="255"/>
      <c r="J136" s="214"/>
      <c r="K136" s="214"/>
      <c r="L136" s="214"/>
      <c r="M136" s="183"/>
      <c r="N136" s="197">
        <f t="shared" si="6"/>
        <v>0</v>
      </c>
    </row>
    <row r="137" spans="3:14" s="99" customFormat="1" ht="16.2" thickBot="1" x14ac:dyDescent="0.35">
      <c r="C137" s="2040" t="s">
        <v>235</v>
      </c>
      <c r="D137" s="2041"/>
      <c r="E137" s="2041"/>
      <c r="F137" s="234"/>
      <c r="G137" s="271"/>
      <c r="H137" s="234">
        <f>H133+H135</f>
        <v>201800326.84</v>
      </c>
      <c r="I137" s="234">
        <f t="shared" ref="I137:N137" si="10">I133+I135</f>
        <v>0</v>
      </c>
      <c r="J137" s="234">
        <f t="shared" si="10"/>
        <v>207257794.78619999</v>
      </c>
      <c r="K137" s="234">
        <f t="shared" si="10"/>
        <v>0</v>
      </c>
      <c r="L137" s="234">
        <f t="shared" si="10"/>
        <v>240648204.72755396</v>
      </c>
      <c r="M137" s="234">
        <f t="shared" si="10"/>
        <v>0</v>
      </c>
      <c r="N137" s="234">
        <f t="shared" si="10"/>
        <v>649706326.35375392</v>
      </c>
    </row>
    <row r="138" spans="3:14" ht="16.2" thickBot="1" x14ac:dyDescent="0.35">
      <c r="C138" s="215"/>
      <c r="D138" s="216"/>
      <c r="E138" s="216"/>
      <c r="F138" s="247"/>
      <c r="G138" s="267"/>
      <c r="H138" s="247"/>
      <c r="I138" s="247"/>
      <c r="J138" s="218"/>
      <c r="K138" s="218"/>
      <c r="L138" s="218"/>
      <c r="M138" s="216"/>
      <c r="N138" s="197">
        <f>H138+J138+L138</f>
        <v>0</v>
      </c>
    </row>
    <row r="139" spans="3:14" ht="16.5" customHeight="1" thickBot="1" x14ac:dyDescent="0.35">
      <c r="C139" s="279"/>
      <c r="D139" s="175" t="s">
        <v>236</v>
      </c>
      <c r="E139" s="175"/>
      <c r="F139" s="272"/>
      <c r="G139" s="278"/>
      <c r="H139" s="281">
        <f>'Table 6. Summary of Multi year'!D17</f>
        <v>201800326.82999998</v>
      </c>
      <c r="I139" s="272"/>
      <c r="J139" s="870">
        <f>'Table 6. Summary of Multi year'!E17</f>
        <v>207257794.78</v>
      </c>
      <c r="K139" s="173"/>
      <c r="L139" s="870">
        <f>'Table 6. Summary of Multi year'!F17</f>
        <v>240648204.73000002</v>
      </c>
      <c r="M139" s="175"/>
      <c r="N139" s="197">
        <f>H139+J139+L139</f>
        <v>649706326.34000003</v>
      </c>
    </row>
    <row r="140" spans="3:14" ht="16.2" thickBot="1" x14ac:dyDescent="0.35">
      <c r="C140" s="215"/>
      <c r="D140" s="216"/>
      <c r="E140" s="216"/>
      <c r="F140" s="247"/>
      <c r="G140" s="267"/>
      <c r="I140" s="247"/>
      <c r="J140" s="218"/>
      <c r="K140" s="218"/>
      <c r="L140" s="218"/>
      <c r="M140" s="216"/>
      <c r="N140" s="197">
        <f>H140+J140+L140</f>
        <v>0</v>
      </c>
    </row>
    <row r="141" spans="3:14" ht="16.5" customHeight="1" thickBot="1" x14ac:dyDescent="0.35">
      <c r="C141" s="279"/>
      <c r="D141" s="175" t="s">
        <v>237</v>
      </c>
      <c r="E141" s="175"/>
      <c r="F141" s="272"/>
      <c r="G141" s="278"/>
      <c r="H141" s="281">
        <f>H139-H137</f>
        <v>-1.0000020265579224E-2</v>
      </c>
      <c r="I141" s="281">
        <f t="shared" ref="I141:N141" si="11">I139-I137</f>
        <v>0</v>
      </c>
      <c r="J141" s="281">
        <f t="shared" si="11"/>
        <v>-6.1999857425689697E-3</v>
      </c>
      <c r="K141" s="281">
        <f t="shared" si="11"/>
        <v>0</v>
      </c>
      <c r="L141" s="281">
        <f t="shared" si="11"/>
        <v>2.4460554122924805E-3</v>
      </c>
      <c r="M141" s="281">
        <f t="shared" si="11"/>
        <v>0</v>
      </c>
      <c r="N141" s="281">
        <f t="shared" si="11"/>
        <v>-1.3753890991210938E-2</v>
      </c>
    </row>
    <row r="142" spans="3:14" ht="16.2" thickBot="1" x14ac:dyDescent="0.35">
      <c r="C142" s="182"/>
      <c r="D142" s="183"/>
      <c r="E142" s="183"/>
      <c r="F142" s="255"/>
      <c r="G142" s="258"/>
      <c r="H142" s="255"/>
      <c r="I142" s="255"/>
      <c r="J142" s="214"/>
      <c r="K142" s="214"/>
      <c r="L142" s="214"/>
      <c r="M142" s="183"/>
      <c r="N142" s="197">
        <f>H142+J142+L142</f>
        <v>0</v>
      </c>
    </row>
    <row r="143" spans="3:14" x14ac:dyDescent="0.3">
      <c r="H143" s="170"/>
      <c r="J143" s="170"/>
      <c r="L143" s="170"/>
    </row>
    <row r="144" spans="3:14" x14ac:dyDescent="0.3">
      <c r="H144" s="170"/>
      <c r="I144" s="170"/>
      <c r="J144" s="170"/>
      <c r="K144" s="170"/>
      <c r="L144" s="170"/>
    </row>
    <row r="145" spans="3:12" x14ac:dyDescent="0.3">
      <c r="C145" s="225" t="s">
        <v>238</v>
      </c>
    </row>
    <row r="148" spans="3:12" x14ac:dyDescent="0.3">
      <c r="H148" s="288"/>
      <c r="I148" s="288">
        <v>148767518.53999999</v>
      </c>
      <c r="J148" s="288">
        <v>123654115.516</v>
      </c>
      <c r="K148" s="288">
        <v>142202232.8434</v>
      </c>
      <c r="L148" s="288"/>
    </row>
    <row r="149" spans="3:12" x14ac:dyDescent="0.3">
      <c r="H149" s="288"/>
      <c r="I149" s="288">
        <v>105194318</v>
      </c>
      <c r="J149" s="288">
        <v>0.14928575113710171</v>
      </c>
      <c r="K149" s="288">
        <v>0.13043478260869565</v>
      </c>
      <c r="L149" s="288"/>
    </row>
    <row r="152" spans="3:12" x14ac:dyDescent="0.3">
      <c r="I152" s="101">
        <v>0.05</v>
      </c>
      <c r="J152" s="101">
        <v>0.05</v>
      </c>
    </row>
    <row r="153" spans="3:12" x14ac:dyDescent="0.3">
      <c r="I153" s="101">
        <v>1.0709362511198648</v>
      </c>
      <c r="J153" s="101">
        <v>0.49257973618050838</v>
      </c>
    </row>
    <row r="155" spans="3:12" x14ac:dyDescent="0.3">
      <c r="H155" s="926">
        <v>174266434.83000001</v>
      </c>
      <c r="I155" s="926">
        <v>174217124.38</v>
      </c>
      <c r="J155" s="926">
        <v>200999400.25</v>
      </c>
      <c r="K155" s="926">
        <f>H155+I155+J155</f>
        <v>549482959.46000004</v>
      </c>
    </row>
    <row r="156" spans="3:12" x14ac:dyDescent="0.3">
      <c r="H156" s="926">
        <f>11000000+16533892</f>
        <v>27533892</v>
      </c>
      <c r="I156" s="926">
        <f>H156*1.2</f>
        <v>33040670.399999999</v>
      </c>
      <c r="J156" s="926">
        <f>I156*1.2</f>
        <v>39648804.479999997</v>
      </c>
      <c r="K156" s="926">
        <f t="shared" ref="K156:K159" si="12">H156+I156+J156</f>
        <v>100223366.88</v>
      </c>
    </row>
    <row r="157" spans="3:12" x14ac:dyDescent="0.3">
      <c r="H157" s="926">
        <f>H155+H156</f>
        <v>201800326.83000001</v>
      </c>
      <c r="I157" s="926">
        <f t="shared" ref="I157:J157" si="13">I155+I156</f>
        <v>207257794.78</v>
      </c>
      <c r="J157" s="926">
        <f t="shared" si="13"/>
        <v>240648204.72999999</v>
      </c>
      <c r="K157" s="926">
        <f t="shared" si="12"/>
        <v>649706326.34000003</v>
      </c>
    </row>
    <row r="158" spans="3:12" x14ac:dyDescent="0.3">
      <c r="H158" s="926"/>
      <c r="I158" s="926"/>
      <c r="J158" s="926"/>
      <c r="K158" s="926">
        <f t="shared" si="12"/>
        <v>0</v>
      </c>
    </row>
    <row r="159" spans="3:12" x14ac:dyDescent="0.3">
      <c r="H159" s="926"/>
      <c r="I159" s="926"/>
      <c r="J159" s="926"/>
      <c r="K159" s="926">
        <f t="shared" si="12"/>
        <v>0</v>
      </c>
    </row>
    <row r="160" spans="3:12" x14ac:dyDescent="0.3">
      <c r="H160" s="926"/>
      <c r="I160" s="926"/>
      <c r="J160" s="926"/>
      <c r="K160" s="926"/>
    </row>
    <row r="161" spans="8:11" x14ac:dyDescent="0.3">
      <c r="H161" s="926"/>
      <c r="I161" s="926"/>
      <c r="J161" s="926"/>
      <c r="K161" s="926"/>
    </row>
  </sheetData>
  <mergeCells count="14">
    <mergeCell ref="C102:G102"/>
    <mergeCell ref="C120:G120"/>
    <mergeCell ref="C135:E135"/>
    <mergeCell ref="C137:E137"/>
    <mergeCell ref="C4:F4"/>
    <mergeCell ref="C126:D126"/>
    <mergeCell ref="C122:D122"/>
    <mergeCell ref="C101:G101"/>
    <mergeCell ref="M2:N2"/>
    <mergeCell ref="G2:H2"/>
    <mergeCell ref="I2:J2"/>
    <mergeCell ref="K2:L2"/>
    <mergeCell ref="C74:E74"/>
    <mergeCell ref="C73:E73"/>
  </mergeCells>
  <hyperlinks>
    <hyperlink ref="D5" location="_ftn1" display="_ftn1"/>
    <hyperlink ref="C145" location="_ftnref1" display="_ftnref1"/>
  </hyperlinks>
  <pageMargins left="0.7" right="0.7" top="0.75" bottom="0.75" header="0.3" footer="0.3"/>
  <pageSetup scale="4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0"/>
  <sheetViews>
    <sheetView view="pageBreakPreview" zoomScaleNormal="100" zoomScaleSheetLayoutView="100" workbookViewId="0">
      <selection activeCell="K9" sqref="K9"/>
    </sheetView>
  </sheetViews>
  <sheetFormatPr defaultRowHeight="14.4" x14ac:dyDescent="0.3"/>
  <cols>
    <col min="1" max="1" width="11.33203125" customWidth="1"/>
    <col min="2" max="2" width="5.5546875" customWidth="1"/>
    <col min="3" max="3" width="53" customWidth="1"/>
    <col min="4" max="4" width="17.5546875" bestFit="1" customWidth="1"/>
    <col min="5" max="5" width="16.5546875" customWidth="1"/>
    <col min="6" max="6" width="17.88671875" bestFit="1" customWidth="1"/>
    <col min="7" max="7" width="16.6640625" customWidth="1"/>
    <col min="8" max="8" width="11.5546875" customWidth="1"/>
    <col min="11" max="11" width="14.6640625" style="166" bestFit="1" customWidth="1"/>
  </cols>
  <sheetData>
    <row r="1" spans="2:11" ht="15" thickBot="1" x14ac:dyDescent="0.35"/>
    <row r="2" spans="2:11" ht="16.2" thickBot="1" x14ac:dyDescent="0.35">
      <c r="B2" s="104" t="s">
        <v>3</v>
      </c>
      <c r="C2" s="105" t="s">
        <v>245</v>
      </c>
      <c r="D2" s="105" t="s">
        <v>157</v>
      </c>
      <c r="E2" s="105" t="s">
        <v>562</v>
      </c>
      <c r="F2" s="105" t="s">
        <v>794</v>
      </c>
      <c r="G2" s="105" t="s">
        <v>8</v>
      </c>
      <c r="H2" s="105" t="s">
        <v>158</v>
      </c>
    </row>
    <row r="3" spans="2:11" ht="16.2" thickBot="1" x14ac:dyDescent="0.35">
      <c r="B3" s="1900" t="s">
        <v>993</v>
      </c>
      <c r="C3" s="107" t="s">
        <v>246</v>
      </c>
      <c r="D3" s="121">
        <f>'10. Three-year Rolling CIP'!H8+'10. Three-year Rolling CIP'!H9</f>
        <v>83621234.900000006</v>
      </c>
      <c r="E3" s="121">
        <f>'10. Three-year Rolling CIP'!J8</f>
        <v>92004948.288800001</v>
      </c>
      <c r="F3" s="121">
        <f>'10. Three-year Rolling CIP'!L8</f>
        <v>109369014.297896</v>
      </c>
      <c r="G3" s="121">
        <f>F3+E3+D3</f>
        <v>284995197.486696</v>
      </c>
      <c r="H3" s="123">
        <f>G3/G14</f>
        <v>0.51866066558213031</v>
      </c>
      <c r="J3" s="502">
        <f>H3+H4+H5+H6+H7+H8+H9+H10+H11+H12+H13</f>
        <v>0.99999999999999989</v>
      </c>
    </row>
    <row r="4" spans="2:11" ht="16.2" thickBot="1" x14ac:dyDescent="0.35">
      <c r="B4" s="1900" t="s">
        <v>994</v>
      </c>
      <c r="C4" s="107" t="s">
        <v>247</v>
      </c>
      <c r="D4" s="118">
        <f>'10. Three-year Rolling CIP'!H28+'10. Three-year Rolling CIP'!H29+'10. Three-year Rolling CIP'!H30+'10. Three-year Rolling CIP'!H31+'10. Three-year Rolling CIP'!H33</f>
        <v>25397973.810000002</v>
      </c>
      <c r="E4" s="118">
        <f>'10. Three-year Rolling CIP'!J28+'10. Three-year Rolling CIP'!J29+'10. Three-year Rolling CIP'!J30+'10. Three-year Rolling CIP'!J33</f>
        <v>27870086.800199997</v>
      </c>
      <c r="F4" s="118">
        <f>'10. Three-year Rolling CIP'!L28+'10. Three-year Rolling CIP'!L29+'10. Three-year Rolling CIP'!L30+'10. Three-year Rolling CIP'!L33</f>
        <v>32246448.581933998</v>
      </c>
      <c r="G4" s="121">
        <f t="shared" ref="G4:G14" si="0">F4+E4+D4</f>
        <v>85514509.192133993</v>
      </c>
      <c r="H4" s="123">
        <f>G4/G14</f>
        <v>0.1556272268643821</v>
      </c>
    </row>
    <row r="5" spans="2:11" ht="16.2" thickBot="1" x14ac:dyDescent="0.35">
      <c r="B5" s="1900" t="s">
        <v>995</v>
      </c>
      <c r="C5" s="107" t="s">
        <v>248</v>
      </c>
      <c r="D5" s="118">
        <f>'10. Three-year Rolling CIP'!H49+'10. Three-year Rolling CIP'!H72</f>
        <v>4422811.6899999995</v>
      </c>
      <c r="E5" s="118">
        <f>'10. Three-year Rolling CIP'!J69</f>
        <v>3814297.8</v>
      </c>
      <c r="F5" s="118">
        <f>'10. Three-year Rolling CIP'!L69</f>
        <v>4462728.425999999</v>
      </c>
      <c r="G5" s="121">
        <f t="shared" si="0"/>
        <v>12699837.915999997</v>
      </c>
      <c r="H5" s="123">
        <f>G5/G14</f>
        <v>2.3112341696934102E-2</v>
      </c>
    </row>
    <row r="6" spans="2:11" ht="16.2" thickBot="1" x14ac:dyDescent="0.35">
      <c r="B6" s="1900" t="s">
        <v>996</v>
      </c>
      <c r="C6" s="107" t="s">
        <v>249</v>
      </c>
      <c r="D6" s="118">
        <f>'10. Three-year Rolling CIP'!H88</f>
        <v>11029538.92</v>
      </c>
      <c r="E6" s="119"/>
      <c r="F6" s="119"/>
      <c r="G6" s="121">
        <f t="shared" si="0"/>
        <v>11029538.92</v>
      </c>
      <c r="H6" s="123">
        <f>G6/G14</f>
        <v>2.0072576828520965E-2</v>
      </c>
    </row>
    <row r="7" spans="2:11" ht="16.2" thickBot="1" x14ac:dyDescent="0.35">
      <c r="B7" s="1900" t="s">
        <v>997</v>
      </c>
      <c r="C7" s="107" t="s">
        <v>250</v>
      </c>
      <c r="D7" s="118">
        <f>'10. Three-year Rolling CIP'!H86+'10. Three-year Rolling CIP'!H85</f>
        <v>8037206.1799999997</v>
      </c>
      <c r="E7" s="118">
        <f>'10. Three-year Rolling CIP'!J85</f>
        <v>4741951.6461999994</v>
      </c>
      <c r="F7" s="118">
        <f>'10. Three-year Rolling CIP'!L85</f>
        <v>5548083.426053999</v>
      </c>
      <c r="G7" s="121">
        <f t="shared" si="0"/>
        <v>18327241.252253998</v>
      </c>
      <c r="H7" s="123">
        <f>G7/G14</f>
        <v>3.3353611674884695E-2</v>
      </c>
    </row>
    <row r="8" spans="2:11" ht="16.2" thickBot="1" x14ac:dyDescent="0.35">
      <c r="B8" s="1900" t="s">
        <v>998</v>
      </c>
      <c r="C8" s="107" t="s">
        <v>147</v>
      </c>
      <c r="D8" s="118">
        <f>'10. Three-year Rolling CIP'!H77+'10. Three-year Rolling CIP'!H78+'10. Three-year Rolling CIP'!H115</f>
        <v>25544009.789999999</v>
      </c>
      <c r="E8" s="118">
        <f>'10. Three-year Rolling CIP'!J77+'10. Three-year Rolling CIP'!J79+'10. Three-year Rolling CIP'!J113</f>
        <v>29395600.477399997</v>
      </c>
      <c r="F8" s="118">
        <f>'10. Three-year Rolling CIP'!L77+'10. Three-year Rolling CIP'!L79+'10. Three-year Rolling CIP'!L113</f>
        <v>30196545.448557995</v>
      </c>
      <c r="G8" s="121">
        <f t="shared" si="0"/>
        <v>85136155.715957999</v>
      </c>
      <c r="H8" s="123">
        <f>G8/G14</f>
        <v>0.15493866415346863</v>
      </c>
    </row>
    <row r="9" spans="2:11" ht="16.2" thickBot="1" x14ac:dyDescent="0.35">
      <c r="B9" s="1900" t="s">
        <v>999</v>
      </c>
      <c r="C9" s="107" t="s">
        <v>251</v>
      </c>
      <c r="D9" s="118">
        <f>'10. Three-year Rolling CIP'!H112</f>
        <v>0</v>
      </c>
      <c r="E9" s="118">
        <f>'10. Three-year Rolling CIP'!J112</f>
        <v>0</v>
      </c>
      <c r="F9" s="118">
        <f>'10. Three-year Rolling CIP'!L112</f>
        <v>0</v>
      </c>
      <c r="G9" s="121">
        <f t="shared" si="0"/>
        <v>0</v>
      </c>
      <c r="H9" s="123">
        <f>G9/G14</f>
        <v>0</v>
      </c>
    </row>
    <row r="10" spans="2:11" ht="16.2" thickBot="1" x14ac:dyDescent="0.35">
      <c r="B10" s="1900" t="s">
        <v>1000</v>
      </c>
      <c r="C10" s="107" t="s">
        <v>252</v>
      </c>
      <c r="D10" s="118">
        <f>'10. Three-year Rolling CIP'!H54</f>
        <v>5000000</v>
      </c>
      <c r="E10" s="118">
        <f>'10. Three-year Rolling CIP'!J54</f>
        <v>5900000</v>
      </c>
      <c r="F10" s="118">
        <f>'10. Three-year Rolling CIP'!L54</f>
        <v>6903000</v>
      </c>
      <c r="G10" s="121">
        <f t="shared" si="0"/>
        <v>17803000</v>
      </c>
      <c r="H10" s="123">
        <f>G10/G14</f>
        <v>3.2399548872361995E-2</v>
      </c>
    </row>
    <row r="11" spans="2:11" ht="16.2" thickBot="1" x14ac:dyDescent="0.35">
      <c r="B11" s="1900" t="s">
        <v>1001</v>
      </c>
      <c r="C11" s="107" t="s">
        <v>253</v>
      </c>
      <c r="D11" s="118">
        <f>'10. Three-year Rolling CIP'!H91+'10. Three-year Rolling CIP'!H92</f>
        <v>6173499.5300000003</v>
      </c>
      <c r="E11" s="118">
        <f>'10. Three-year Rolling CIP'!J91</f>
        <v>4542850.55</v>
      </c>
      <c r="F11" s="118">
        <f>'10. Three-year Rolling CIP'!L91</f>
        <v>5315135.1434999993</v>
      </c>
      <c r="G11" s="121">
        <f t="shared" si="0"/>
        <v>16031485.223499998</v>
      </c>
      <c r="H11" s="123">
        <f>G11/G14</f>
        <v>2.9175582148814098E-2</v>
      </c>
    </row>
    <row r="12" spans="2:11" ht="16.2" thickBot="1" x14ac:dyDescent="0.35">
      <c r="B12" s="1901" t="s">
        <v>1002</v>
      </c>
      <c r="C12" s="107" t="s">
        <v>254</v>
      </c>
      <c r="D12" s="118"/>
      <c r="E12" s="118"/>
      <c r="F12" s="118"/>
      <c r="G12" s="121">
        <f t="shared" si="0"/>
        <v>0</v>
      </c>
      <c r="H12" s="123">
        <f>G12/G14</f>
        <v>0</v>
      </c>
    </row>
    <row r="13" spans="2:11" s="66" customFormat="1" ht="31.8" thickBot="1" x14ac:dyDescent="0.35">
      <c r="B13" s="1901" t="s">
        <v>1003</v>
      </c>
      <c r="C13" s="106" t="s">
        <v>255</v>
      </c>
      <c r="D13" s="120">
        <f>'10. Three-year Rolling CIP'!H135</f>
        <v>5040160.0199999996</v>
      </c>
      <c r="E13" s="120">
        <f>'10. Three-year Rolling CIP'!J135</f>
        <v>5947388.8235999988</v>
      </c>
      <c r="F13" s="120">
        <f>'10. Three-year Rolling CIP'!L135</f>
        <v>6958444.9236119986</v>
      </c>
      <c r="G13" s="121">
        <f t="shared" si="0"/>
        <v>17945993.767211996</v>
      </c>
      <c r="H13" s="123">
        <f>G13/G14</f>
        <v>3.2659782178502995E-2</v>
      </c>
      <c r="K13" s="166"/>
    </row>
    <row r="14" spans="2:11" s="2" customFormat="1" ht="27" customHeight="1" thickBot="1" x14ac:dyDescent="0.35">
      <c r="B14" s="112"/>
      <c r="C14" s="112" t="s">
        <v>8</v>
      </c>
      <c r="D14" s="122">
        <f>SUM(D3:D13)</f>
        <v>174266434.84</v>
      </c>
      <c r="E14" s="122">
        <f>SUM(E3:E13)</f>
        <v>174217124.38620001</v>
      </c>
      <c r="F14" s="122">
        <f>SUM(F3:F13)</f>
        <v>200999400.247554</v>
      </c>
      <c r="G14" s="1429">
        <f t="shared" si="0"/>
        <v>549482959.47375405</v>
      </c>
      <c r="H14" s="124">
        <f>G14/G14</f>
        <v>1</v>
      </c>
      <c r="J14" s="1122">
        <f>H3+H4+H5+H6+H7+H8+H9+H10+H11+H12+H13</f>
        <v>0.99999999999999989</v>
      </c>
      <c r="K14" s="910"/>
    </row>
    <row r="15" spans="2:11" x14ac:dyDescent="0.3">
      <c r="K15" s="166">
        <v>7300000</v>
      </c>
    </row>
    <row r="16" spans="2:11" ht="15.6" x14ac:dyDescent="0.3">
      <c r="C16" s="168" t="s">
        <v>137</v>
      </c>
      <c r="D16" s="4">
        <f>'Table 6. Summary of Multi year'!D9</f>
        <v>174266434.82999998</v>
      </c>
      <c r="E16" s="4">
        <f>'Table 6. Summary of Multi year'!E9</f>
        <v>174217124.38</v>
      </c>
      <c r="F16" s="4">
        <f>'Table 6. Summary of Multi year'!F9</f>
        <v>200999400.25</v>
      </c>
      <c r="G16" s="4">
        <f>D16+E16+F16</f>
        <v>549482959.46000004</v>
      </c>
      <c r="K16" s="166">
        <v>5400000</v>
      </c>
    </row>
    <row r="17" spans="4:11" x14ac:dyDescent="0.3">
      <c r="D17" s="4">
        <f>D14-D16</f>
        <v>1.0000020265579224E-2</v>
      </c>
      <c r="E17" s="4">
        <f>E14-E16</f>
        <v>6.2000155448913574E-3</v>
      </c>
      <c r="F17" s="4">
        <f>F14-F16</f>
        <v>-2.4459958076477051E-3</v>
      </c>
      <c r="G17" s="4">
        <f>G14-G16</f>
        <v>1.3754010200500488E-2</v>
      </c>
      <c r="K17" s="166">
        <f>D14+K15+K16</f>
        <v>186966434.84</v>
      </c>
    </row>
    <row r="18" spans="4:11" x14ac:dyDescent="0.3">
      <c r="D18" s="1"/>
      <c r="E18" s="1"/>
      <c r="F18" s="1"/>
      <c r="G18" s="1"/>
    </row>
    <row r="19" spans="4:11" x14ac:dyDescent="0.3">
      <c r="D19" s="4">
        <v>800000</v>
      </c>
      <c r="E19" s="4">
        <f>D19*1.15</f>
        <v>919999.99999999988</v>
      </c>
      <c r="F19" s="4">
        <f>E19*1.15</f>
        <v>1057999.9999999998</v>
      </c>
      <c r="G19" s="4"/>
      <c r="I19" t="s">
        <v>987</v>
      </c>
    </row>
    <row r="20" spans="4:11" x14ac:dyDescent="0.3">
      <c r="E20" s="4">
        <f>E17+E19</f>
        <v>920000.00620001543</v>
      </c>
      <c r="F20" s="4">
        <f>F17+F19</f>
        <v>1057999.997554004</v>
      </c>
      <c r="G20" s="4">
        <f>G17+G19</f>
        <v>1.3754010200500488E-2</v>
      </c>
    </row>
    <row r="22" spans="4:11" ht="14.25" customHeight="1" x14ac:dyDescent="0.3">
      <c r="D22" s="4">
        <f>D16+D17</f>
        <v>174266434.84</v>
      </c>
    </row>
    <row r="23" spans="4:11" x14ac:dyDescent="0.3">
      <c r="E23" s="952">
        <v>148767518.53999999</v>
      </c>
      <c r="F23" s="952">
        <v>123654115.516</v>
      </c>
      <c r="G23" s="952">
        <v>142202232.8434</v>
      </c>
    </row>
    <row r="24" spans="4:11" x14ac:dyDescent="0.3">
      <c r="E24" s="4" t="e">
        <f>E23-#REF!</f>
        <v>#REF!</v>
      </c>
      <c r="F24" s="953" t="e">
        <f>(F23-E24)/E24</f>
        <v>#REF!</v>
      </c>
      <c r="G24" s="4">
        <f>(G23-F23)/F23</f>
        <v>0.15</v>
      </c>
    </row>
    <row r="26" spans="4:11" x14ac:dyDescent="0.3">
      <c r="F26" s="4">
        <f>F23-E14</f>
        <v>-50563008.870200008</v>
      </c>
    </row>
    <row r="28" spans="4:11" x14ac:dyDescent="0.3">
      <c r="F28" s="4">
        <f>(F23-E23)/E23</f>
        <v>-0.16880971915416873</v>
      </c>
    </row>
    <row r="30" spans="4:11" x14ac:dyDescent="0.3">
      <c r="F30">
        <v>9</v>
      </c>
    </row>
  </sheetData>
  <pageMargins left="0.7" right="0.7" top="0.75" bottom="0.75" header="0.3" footer="0.3"/>
  <pageSetup scale="60" orientation="portrait"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2"/>
  <sheetViews>
    <sheetView topLeftCell="A97" zoomScale="90" zoomScaleNormal="90" workbookViewId="0">
      <selection activeCell="C111" sqref="C111"/>
    </sheetView>
  </sheetViews>
  <sheetFormatPr defaultColWidth="9.109375" defaultRowHeight="13.8" x14ac:dyDescent="0.3"/>
  <cols>
    <col min="1" max="1" width="9.109375" style="289"/>
    <col min="2" max="2" width="5.5546875" style="289" customWidth="1"/>
    <col min="3" max="3" width="45.44140625" style="289" customWidth="1"/>
    <col min="4" max="4" width="9.109375" style="289"/>
    <col min="5" max="5" width="10.21875" style="290" bestFit="1" customWidth="1"/>
    <col min="6" max="6" width="17" style="290" customWidth="1"/>
    <col min="7" max="7" width="16.109375" style="289" customWidth="1"/>
    <col min="8" max="8" width="16" style="289" customWidth="1"/>
    <col min="9" max="9" width="16.109375" style="289" customWidth="1"/>
    <col min="10" max="11" width="15.6640625" style="289" customWidth="1"/>
    <col min="12" max="12" width="18.33203125" style="289" bestFit="1" customWidth="1"/>
    <col min="13" max="13" width="10.5546875" style="289" customWidth="1"/>
    <col min="14" max="14" width="9.109375" style="289"/>
    <col min="15" max="15" width="11" style="289" bestFit="1" customWidth="1"/>
    <col min="16" max="16" width="14.5546875" style="290" bestFit="1" customWidth="1"/>
    <col min="17" max="17" width="9.109375" style="289"/>
    <col min="18" max="18" width="18.33203125" style="289" customWidth="1"/>
    <col min="19" max="16384" width="9.109375" style="289"/>
  </cols>
  <sheetData>
    <row r="1" spans="2:16" ht="14.4" thickBot="1" x14ac:dyDescent="0.35"/>
    <row r="2" spans="2:16" ht="14.4" thickBot="1" x14ac:dyDescent="0.35">
      <c r="B2" s="2054" t="s">
        <v>0</v>
      </c>
      <c r="C2" s="2054" t="s">
        <v>4</v>
      </c>
      <c r="D2" s="2054" t="s">
        <v>5</v>
      </c>
      <c r="E2" s="2064" t="s">
        <v>55</v>
      </c>
      <c r="F2" s="291" t="s">
        <v>7</v>
      </c>
      <c r="G2" s="2067" t="s">
        <v>256</v>
      </c>
      <c r="H2" s="2068"/>
      <c r="I2" s="2068"/>
      <c r="J2" s="2068"/>
      <c r="K2" s="2068"/>
      <c r="L2" s="2069"/>
      <c r="M2" s="292"/>
      <c r="N2" s="293"/>
    </row>
    <row r="3" spans="2:16" x14ac:dyDescent="0.3">
      <c r="B3" s="2063"/>
      <c r="C3" s="2063"/>
      <c r="D3" s="2063"/>
      <c r="E3" s="2065"/>
      <c r="F3" s="294" t="s">
        <v>799</v>
      </c>
      <c r="G3" s="2054" t="s">
        <v>530</v>
      </c>
      <c r="H3" s="2054" t="s">
        <v>132</v>
      </c>
      <c r="I3" s="2054" t="s">
        <v>133</v>
      </c>
      <c r="J3" s="2054" t="s">
        <v>415</v>
      </c>
      <c r="K3" s="2054" t="s">
        <v>416</v>
      </c>
      <c r="L3" s="2054" t="s">
        <v>257</v>
      </c>
      <c r="M3" s="2054" t="s">
        <v>260</v>
      </c>
      <c r="N3" s="293"/>
    </row>
    <row r="4" spans="2:16" ht="14.4" thickBot="1" x14ac:dyDescent="0.35">
      <c r="B4" s="2055"/>
      <c r="C4" s="2055"/>
      <c r="D4" s="2055"/>
      <c r="E4" s="2066"/>
      <c r="F4" s="295"/>
      <c r="G4" s="2055"/>
      <c r="H4" s="2055"/>
      <c r="I4" s="2055"/>
      <c r="J4" s="2055"/>
      <c r="K4" s="2055"/>
      <c r="L4" s="2055"/>
      <c r="M4" s="2055"/>
      <c r="N4" s="293"/>
    </row>
    <row r="5" spans="2:16" ht="16.2" thickBot="1" x14ac:dyDescent="0.35">
      <c r="B5" s="2060" t="s">
        <v>258</v>
      </c>
      <c r="C5" s="2061"/>
      <c r="D5" s="2061"/>
      <c r="E5" s="2061"/>
      <c r="F5" s="2061"/>
      <c r="G5" s="2061"/>
      <c r="H5" s="2061"/>
      <c r="I5" s="2061"/>
      <c r="J5" s="2061"/>
      <c r="K5" s="2061"/>
      <c r="L5" s="2061"/>
      <c r="M5" s="2062"/>
      <c r="N5" s="293"/>
    </row>
    <row r="6" spans="2:16" ht="14.4" thickBot="1" x14ac:dyDescent="0.35">
      <c r="B6" s="296" t="s">
        <v>1</v>
      </c>
      <c r="C6" s="297" t="s">
        <v>159</v>
      </c>
      <c r="D6" s="298"/>
      <c r="E6" s="299"/>
      <c r="F6" s="299"/>
      <c r="G6" s="300"/>
      <c r="H6" s="300"/>
      <c r="I6" s="300"/>
      <c r="J6" s="300"/>
      <c r="K6" s="300"/>
      <c r="L6" s="300"/>
      <c r="M6" s="300"/>
      <c r="N6" s="293"/>
    </row>
    <row r="7" spans="2:16" ht="14.4" thickBot="1" x14ac:dyDescent="0.35">
      <c r="B7" s="296"/>
      <c r="C7" s="301" t="s">
        <v>287</v>
      </c>
      <c r="D7" s="298"/>
      <c r="E7" s="299"/>
      <c r="F7" s="299"/>
      <c r="G7" s="300"/>
      <c r="H7" s="300"/>
      <c r="I7" s="300"/>
      <c r="J7" s="300"/>
      <c r="K7" s="300"/>
      <c r="L7" s="300"/>
      <c r="M7" s="300"/>
      <c r="N7" s="293"/>
    </row>
    <row r="8" spans="2:16" ht="14.4" thickBot="1" x14ac:dyDescent="0.35">
      <c r="B8" s="302" t="s">
        <v>141</v>
      </c>
      <c r="C8" s="303" t="s">
        <v>288</v>
      </c>
      <c r="D8" s="304"/>
      <c r="E8" s="305"/>
      <c r="F8" s="305"/>
      <c r="G8" s="306"/>
      <c r="H8" s="306"/>
      <c r="I8" s="306"/>
      <c r="J8" s="306"/>
      <c r="K8" s="306"/>
      <c r="L8" s="306"/>
      <c r="M8" s="306"/>
      <c r="N8" s="293"/>
    </row>
    <row r="9" spans="2:16" ht="14.4" thickBot="1" x14ac:dyDescent="0.35">
      <c r="B9" s="307">
        <v>1</v>
      </c>
      <c r="C9" s="308" t="s">
        <v>173</v>
      </c>
      <c r="D9" s="309"/>
      <c r="E9" s="310"/>
      <c r="F9" s="310"/>
      <c r="G9" s="311"/>
      <c r="H9" s="311"/>
      <c r="I9" s="311"/>
      <c r="J9" s="311"/>
      <c r="K9" s="311"/>
      <c r="L9" s="311"/>
      <c r="M9" s="311"/>
      <c r="N9" s="293"/>
    </row>
    <row r="10" spans="2:16" s="318" customFormat="1" ht="14.4" thickBot="1" x14ac:dyDescent="0.35">
      <c r="B10" s="312">
        <v>1.1000000000000001</v>
      </c>
      <c r="C10" s="313" t="s">
        <v>1042</v>
      </c>
      <c r="D10" s="314"/>
      <c r="E10" s="315"/>
      <c r="F10" s="315"/>
      <c r="G10" s="316"/>
      <c r="H10" s="316"/>
      <c r="I10" s="316"/>
      <c r="J10" s="316"/>
      <c r="K10" s="316"/>
      <c r="L10" s="316"/>
      <c r="M10" s="316"/>
      <c r="N10" s="317"/>
      <c r="P10" s="420"/>
    </row>
    <row r="11" spans="2:16" ht="29.4" thickBot="1" x14ac:dyDescent="0.35">
      <c r="B11" s="307" t="s">
        <v>174</v>
      </c>
      <c r="C11" s="1337" t="s">
        <v>706</v>
      </c>
      <c r="D11" s="319" t="s">
        <v>10</v>
      </c>
      <c r="E11" s="310">
        <f>'16. APP UIIDP'!D15</f>
        <v>2548</v>
      </c>
      <c r="F11" s="310">
        <f>'16. APP UIIDP'!H14</f>
        <v>3409056.69</v>
      </c>
      <c r="G11" s="320">
        <f>F11/1.82912206116649</f>
        <v>1863766.646511242</v>
      </c>
      <c r="H11" s="320">
        <f>G11*0.414561030583245</f>
        <v>772645.02174437896</v>
      </c>
      <c r="I11" s="320">
        <f>H11</f>
        <v>772645.02174437896</v>
      </c>
      <c r="J11" s="320"/>
      <c r="K11" s="320"/>
      <c r="L11" s="311"/>
      <c r="M11" s="311"/>
      <c r="N11" s="293"/>
    </row>
    <row r="12" spans="2:16" ht="15" thickBot="1" x14ac:dyDescent="0.35">
      <c r="B12" s="307" t="s">
        <v>176</v>
      </c>
      <c r="C12" s="1337" t="s">
        <v>803</v>
      </c>
      <c r="D12" s="319" t="s">
        <v>10</v>
      </c>
      <c r="E12" s="310">
        <f>'16. APP UIIDP'!D18</f>
        <v>1470</v>
      </c>
      <c r="F12" s="1360">
        <f>'16. APP UIIDP'!H17</f>
        <v>2158666.98</v>
      </c>
      <c r="G12" s="320">
        <f t="shared" ref="G12:G40" si="0">F12/1.82912206116649</f>
        <v>1180165.6247168921</v>
      </c>
      <c r="H12" s="320">
        <f t="shared" ref="H12:H40" si="1">G12*0.414561030583245</f>
        <v>489250.67764155398</v>
      </c>
      <c r="I12" s="320">
        <f t="shared" ref="I12:I40" si="2">H12</f>
        <v>489250.67764155398</v>
      </c>
      <c r="J12" s="311"/>
      <c r="K12" s="311"/>
      <c r="L12" s="311"/>
      <c r="M12" s="311"/>
      <c r="N12" s="293"/>
    </row>
    <row r="13" spans="2:16" ht="15" thickBot="1" x14ac:dyDescent="0.35">
      <c r="B13" s="307" t="s">
        <v>259</v>
      </c>
      <c r="C13" s="1337" t="s">
        <v>808</v>
      </c>
      <c r="D13" s="319" t="s">
        <v>10</v>
      </c>
      <c r="E13" s="310">
        <f>'16. APP UIIDP'!D21</f>
        <v>1470</v>
      </c>
      <c r="F13" s="1360">
        <f>'16. APP UIIDP'!G20</f>
        <v>1909901.61</v>
      </c>
      <c r="G13" s="320">
        <f>F13/1.82912206116649</f>
        <v>1044163.0170826295</v>
      </c>
      <c r="H13" s="320">
        <f>G13*0.414561030583245</f>
        <v>432869.29645868536</v>
      </c>
      <c r="I13" s="320">
        <f>H13</f>
        <v>432869.29645868536</v>
      </c>
      <c r="J13" s="311"/>
      <c r="K13" s="311"/>
      <c r="L13" s="311"/>
      <c r="M13" s="311"/>
      <c r="N13" s="293"/>
    </row>
    <row r="14" spans="2:16" ht="15" thickBot="1" x14ac:dyDescent="0.35">
      <c r="B14" s="307" t="s">
        <v>261</v>
      </c>
      <c r="C14" s="1337" t="s">
        <v>708</v>
      </c>
      <c r="D14" s="319" t="s">
        <v>10</v>
      </c>
      <c r="E14" s="310">
        <f>'16. APP UIIDP'!D24</f>
        <v>2310</v>
      </c>
      <c r="F14" s="310">
        <f>'16. APP UIIDP'!H23</f>
        <v>2962220.34</v>
      </c>
      <c r="G14" s="320">
        <f t="shared" si="0"/>
        <v>1619476.5799888154</v>
      </c>
      <c r="H14" s="320">
        <f t="shared" si="1"/>
        <v>671371.88000559236</v>
      </c>
      <c r="I14" s="320">
        <f t="shared" si="2"/>
        <v>671371.88000559236</v>
      </c>
      <c r="J14" s="311"/>
      <c r="K14" s="311"/>
      <c r="L14" s="311"/>
      <c r="M14" s="311"/>
      <c r="N14" s="293"/>
    </row>
    <row r="15" spans="2:16" ht="29.4" thickBot="1" x14ac:dyDescent="0.35">
      <c r="B15" s="307" t="s">
        <v>262</v>
      </c>
      <c r="C15" s="1337" t="s">
        <v>709</v>
      </c>
      <c r="D15" s="319" t="s">
        <v>10</v>
      </c>
      <c r="E15" s="310">
        <f>'16. APP UIIDP'!D27</f>
        <v>2310</v>
      </c>
      <c r="F15" s="310">
        <f>'16. APP UIIDP'!H26</f>
        <v>2707345.17</v>
      </c>
      <c r="G15" s="320">
        <f t="shared" si="0"/>
        <v>1480133.6813320369</v>
      </c>
      <c r="H15" s="320">
        <f t="shared" si="1"/>
        <v>613605.74433398154</v>
      </c>
      <c r="I15" s="320">
        <f t="shared" si="2"/>
        <v>613605.74433398154</v>
      </c>
      <c r="J15" s="311"/>
      <c r="K15" s="311"/>
      <c r="L15" s="311"/>
      <c r="M15" s="311"/>
      <c r="N15" s="293"/>
    </row>
    <row r="16" spans="2:16" ht="29.4" thickBot="1" x14ac:dyDescent="0.35">
      <c r="B16" s="307" t="s">
        <v>263</v>
      </c>
      <c r="C16" s="1337" t="s">
        <v>710</v>
      </c>
      <c r="D16" s="319" t="s">
        <v>10</v>
      </c>
      <c r="E16" s="310">
        <f>'16. APP UIIDP'!D30</f>
        <v>2380</v>
      </c>
      <c r="F16" s="310">
        <f>'16. APP UIIDP'!H29</f>
        <v>3072009.34</v>
      </c>
      <c r="G16" s="320">
        <f t="shared" si="0"/>
        <v>1679499.3648706421</v>
      </c>
      <c r="H16" s="320">
        <f t="shared" si="1"/>
        <v>696254.98756467877</v>
      </c>
      <c r="I16" s="320">
        <f t="shared" si="2"/>
        <v>696254.98756467877</v>
      </c>
      <c r="J16" s="311"/>
      <c r="K16" s="311"/>
      <c r="L16" s="311"/>
      <c r="M16" s="311"/>
      <c r="N16" s="293"/>
    </row>
    <row r="17" spans="2:18" ht="15" thickBot="1" x14ac:dyDescent="0.35">
      <c r="B17" s="307" t="s">
        <v>264</v>
      </c>
      <c r="C17" s="1337" t="s">
        <v>711</v>
      </c>
      <c r="D17" s="319" t="s">
        <v>10</v>
      </c>
      <c r="E17" s="310">
        <f>'16. APP UIIDP'!D33</f>
        <v>2625</v>
      </c>
      <c r="F17" s="310">
        <f>'16. APP UIIDP'!H32</f>
        <v>3285820.16</v>
      </c>
      <c r="G17" s="320">
        <f t="shared" si="0"/>
        <v>1796391.9575189678</v>
      </c>
      <c r="H17" s="320">
        <f t="shared" si="1"/>
        <v>744714.10124051617</v>
      </c>
      <c r="I17" s="320">
        <f t="shared" si="2"/>
        <v>744714.10124051617</v>
      </c>
      <c r="J17" s="311"/>
      <c r="K17" s="311"/>
      <c r="L17" s="311"/>
      <c r="M17" s="311"/>
      <c r="N17" s="293"/>
    </row>
    <row r="18" spans="2:18" ht="29.4" thickBot="1" x14ac:dyDescent="0.35">
      <c r="B18" s="307" t="s">
        <v>265</v>
      </c>
      <c r="C18" s="1337" t="s">
        <v>712</v>
      </c>
      <c r="D18" s="319" t="s">
        <v>10</v>
      </c>
      <c r="E18" s="310">
        <f>'16. APP UIIDP'!D36</f>
        <v>1750</v>
      </c>
      <c r="F18" s="310">
        <f>'16. APP UIIDP'!H35</f>
        <v>2235173.13</v>
      </c>
      <c r="G18" s="320">
        <f t="shared" si="0"/>
        <v>1221992.330339375</v>
      </c>
      <c r="H18" s="320">
        <f t="shared" si="1"/>
        <v>506590.39983031247</v>
      </c>
      <c r="I18" s="320">
        <f t="shared" si="2"/>
        <v>506590.39983031247</v>
      </c>
      <c r="J18" s="311"/>
      <c r="K18" s="311"/>
      <c r="L18" s="311"/>
      <c r="M18" s="311"/>
      <c r="N18" s="293"/>
      <c r="R18" s="928">
        <v>0.419622103020793</v>
      </c>
    </row>
    <row r="19" spans="2:18" ht="29.4" thickBot="1" x14ac:dyDescent="0.35">
      <c r="B19" s="307" t="s">
        <v>266</v>
      </c>
      <c r="C19" s="1337" t="s">
        <v>713</v>
      </c>
      <c r="D19" s="319" t="s">
        <v>10</v>
      </c>
      <c r="E19" s="310">
        <f>'16. APP UIIDP'!D39</f>
        <v>1260</v>
      </c>
      <c r="F19" s="310">
        <f>'16. APP UIIDP'!H38</f>
        <v>1687952.76</v>
      </c>
      <c r="G19" s="320">
        <f t="shared" si="0"/>
        <v>922821.27903675172</v>
      </c>
      <c r="H19" s="320">
        <f t="shared" si="1"/>
        <v>382565.74048162409</v>
      </c>
      <c r="I19" s="320">
        <f t="shared" si="2"/>
        <v>382565.74048162409</v>
      </c>
      <c r="J19" s="311"/>
      <c r="K19" s="311"/>
      <c r="L19" s="311"/>
      <c r="M19" s="311"/>
      <c r="N19" s="293"/>
      <c r="R19" s="927">
        <f>R18+1</f>
        <v>1.4196221030207929</v>
      </c>
    </row>
    <row r="20" spans="2:18" ht="15" thickBot="1" x14ac:dyDescent="0.35">
      <c r="B20" s="307" t="s">
        <v>267</v>
      </c>
      <c r="C20" s="1337" t="s">
        <v>714</v>
      </c>
      <c r="D20" s="319" t="s">
        <v>10</v>
      </c>
      <c r="E20" s="310">
        <f>'16. APP UIIDP'!D42</f>
        <v>1890</v>
      </c>
      <c r="F20" s="321">
        <f>'16. APP UIIDP'!H41</f>
        <v>2644387.71</v>
      </c>
      <c r="G20" s="320">
        <f t="shared" si="0"/>
        <v>1445714.1850410949</v>
      </c>
      <c r="H20" s="320">
        <f t="shared" si="1"/>
        <v>599336.76247945242</v>
      </c>
      <c r="I20" s="320">
        <f t="shared" si="2"/>
        <v>599336.76247945242</v>
      </c>
      <c r="J20" s="311"/>
      <c r="K20" s="311"/>
      <c r="L20" s="311"/>
      <c r="M20" s="311"/>
      <c r="N20" s="293"/>
      <c r="R20" s="927">
        <v>1.8392442060415899</v>
      </c>
    </row>
    <row r="21" spans="2:18" ht="15" thickBot="1" x14ac:dyDescent="0.35">
      <c r="B21" s="307" t="s">
        <v>268</v>
      </c>
      <c r="C21" s="1337" t="s">
        <v>715</v>
      </c>
      <c r="D21" s="319" t="s">
        <v>10</v>
      </c>
      <c r="E21" s="322">
        <f>'16. APP UIIDP'!D45</f>
        <v>2240</v>
      </c>
      <c r="F21" s="1458">
        <f>'16. APP UIIDP'!H44</f>
        <v>2943135.74</v>
      </c>
      <c r="G21" s="320">
        <f t="shared" si="0"/>
        <v>1609042.8312493633</v>
      </c>
      <c r="H21" s="320">
        <f t="shared" si="1"/>
        <v>667046.45437531837</v>
      </c>
      <c r="I21" s="320">
        <f t="shared" si="2"/>
        <v>667046.45437531837</v>
      </c>
      <c r="J21" s="311"/>
      <c r="K21" s="311"/>
      <c r="L21" s="311"/>
      <c r="M21" s="311"/>
      <c r="N21" s="293"/>
    </row>
    <row r="22" spans="2:18" ht="29.4" thickBot="1" x14ac:dyDescent="0.35">
      <c r="B22" s="307" t="s">
        <v>269</v>
      </c>
      <c r="C22" s="1337" t="s">
        <v>716</v>
      </c>
      <c r="D22" s="319" t="s">
        <v>10</v>
      </c>
      <c r="E22" s="310">
        <f>'16. APP UIIDP'!D48</f>
        <v>2310</v>
      </c>
      <c r="F22" s="310">
        <f>'16. APP UIIDP'!H47</f>
        <v>2723883.57</v>
      </c>
      <c r="G22" s="320">
        <f t="shared" si="0"/>
        <v>1489175.3961257739</v>
      </c>
      <c r="H22" s="320">
        <f t="shared" si="1"/>
        <v>617354.08693711297</v>
      </c>
      <c r="I22" s="320">
        <f t="shared" si="2"/>
        <v>617354.08693711297</v>
      </c>
      <c r="J22" s="311"/>
      <c r="K22" s="311"/>
      <c r="L22" s="311"/>
      <c r="M22" s="311"/>
      <c r="N22" s="293"/>
      <c r="P22" s="290">
        <v>57194318</v>
      </c>
    </row>
    <row r="23" spans="2:18" ht="43.8" thickBot="1" x14ac:dyDescent="0.35">
      <c r="B23" s="307" t="s">
        <v>270</v>
      </c>
      <c r="C23" s="1337" t="s">
        <v>717</v>
      </c>
      <c r="D23" s="319" t="s">
        <v>10</v>
      </c>
      <c r="E23" s="310">
        <f>'16. APP UIIDP'!D51</f>
        <v>2590</v>
      </c>
      <c r="F23" s="310">
        <f>'16. APP UIIDP'!H50</f>
        <v>3304230.95</v>
      </c>
      <c r="G23" s="320">
        <f t="shared" si="0"/>
        <v>1806457.3273435812</v>
      </c>
      <c r="H23" s="320">
        <f t="shared" si="1"/>
        <v>748886.81132820947</v>
      </c>
      <c r="I23" s="320">
        <f t="shared" si="2"/>
        <v>748886.81132820947</v>
      </c>
      <c r="J23" s="311"/>
      <c r="K23" s="311"/>
      <c r="L23" s="311"/>
      <c r="M23" s="311"/>
      <c r="N23" s="293"/>
      <c r="P23" s="290">
        <v>24000000</v>
      </c>
    </row>
    <row r="24" spans="2:18" ht="15" thickBot="1" x14ac:dyDescent="0.35">
      <c r="B24" s="307" t="s">
        <v>271</v>
      </c>
      <c r="C24" s="1337" t="s">
        <v>718</v>
      </c>
      <c r="D24" s="319" t="s">
        <v>10</v>
      </c>
      <c r="E24" s="310">
        <f>'16. APP UIIDP'!D54</f>
        <v>2184</v>
      </c>
      <c r="F24" s="321">
        <f>'16. APP UIIDP'!H53</f>
        <v>2682562.0499999998</v>
      </c>
      <c r="G24" s="320">
        <f t="shared" si="0"/>
        <v>1466584.4926113044</v>
      </c>
      <c r="H24" s="320">
        <f t="shared" si="1"/>
        <v>607988.77869434783</v>
      </c>
      <c r="I24" s="320">
        <f t="shared" si="2"/>
        <v>607988.77869434783</v>
      </c>
      <c r="J24" s="311"/>
      <c r="K24" s="311"/>
      <c r="L24" s="311"/>
      <c r="M24" s="311"/>
      <c r="N24" s="293"/>
      <c r="P24" s="290">
        <v>24000000</v>
      </c>
    </row>
    <row r="25" spans="2:18" ht="15" thickBot="1" x14ac:dyDescent="0.35">
      <c r="B25" s="307" t="s">
        <v>272</v>
      </c>
      <c r="C25" s="1337" t="s">
        <v>804</v>
      </c>
      <c r="D25" s="319" t="s">
        <v>10</v>
      </c>
      <c r="E25" s="322">
        <f>'16. APP UIIDP'!D60</f>
        <v>1470</v>
      </c>
      <c r="F25" s="1460">
        <f>'16. APP UIIDP'!H59</f>
        <v>1910331.97</v>
      </c>
      <c r="G25" s="320">
        <f t="shared" si="0"/>
        <v>1044398.2993577366</v>
      </c>
      <c r="H25" s="320">
        <f t="shared" si="1"/>
        <v>432966.83532113169</v>
      </c>
      <c r="I25" s="320">
        <f t="shared" si="2"/>
        <v>432966.83532113169</v>
      </c>
      <c r="J25" s="311"/>
      <c r="K25" s="311"/>
      <c r="L25" s="311"/>
      <c r="M25" s="311"/>
      <c r="N25" s="293"/>
      <c r="P25" s="290">
        <f>P22+P23+P24</f>
        <v>105194318</v>
      </c>
    </row>
    <row r="26" spans="2:18" ht="29.4" thickBot="1" x14ac:dyDescent="0.35">
      <c r="B26" s="307" t="s">
        <v>273</v>
      </c>
      <c r="C26" s="1337" t="s">
        <v>805</v>
      </c>
      <c r="D26" s="319" t="s">
        <v>10</v>
      </c>
      <c r="E26" s="322">
        <f>'16. APP UIIDP'!D60</f>
        <v>1470</v>
      </c>
      <c r="F26" s="1460">
        <f>'16. APP UIIDP'!G59</f>
        <v>1910331.97</v>
      </c>
      <c r="G26" s="320">
        <f>F26/1.82912206116649</f>
        <v>1044398.2993577366</v>
      </c>
      <c r="H26" s="320">
        <f>G26*0.414561030583245</f>
        <v>432966.83532113169</v>
      </c>
      <c r="I26" s="320">
        <f>H26</f>
        <v>432966.83532113169</v>
      </c>
      <c r="J26" s="311"/>
      <c r="K26" s="311"/>
      <c r="L26" s="311"/>
      <c r="M26" s="311"/>
      <c r="N26" s="293"/>
      <c r="P26" s="290">
        <f>P23+P24+P25</f>
        <v>153194318</v>
      </c>
    </row>
    <row r="27" spans="2:18" ht="29.4" thickBot="1" x14ac:dyDescent="0.35">
      <c r="B27" s="307" t="s">
        <v>274</v>
      </c>
      <c r="C27" s="1337" t="s">
        <v>719</v>
      </c>
      <c r="D27" s="319" t="s">
        <v>10</v>
      </c>
      <c r="E27" s="322">
        <f>'16. APP UIIDP'!D63</f>
        <v>1890</v>
      </c>
      <c r="F27" s="1459">
        <f>'16. APP UIIDP'!H62</f>
        <v>2452169.02</v>
      </c>
      <c r="G27" s="320">
        <f t="shared" si="0"/>
        <v>1340626.2337879043</v>
      </c>
      <c r="H27" s="320">
        <f t="shared" si="1"/>
        <v>555771.393106048</v>
      </c>
      <c r="I27" s="320">
        <f t="shared" si="2"/>
        <v>555771.393106048</v>
      </c>
      <c r="J27" s="311"/>
      <c r="K27" s="311"/>
      <c r="L27" s="311"/>
      <c r="M27" s="311"/>
      <c r="N27" s="293"/>
      <c r="R27" s="928">
        <f>P23/P22</f>
        <v>0.41962210302079306</v>
      </c>
    </row>
    <row r="28" spans="2:18" ht="29.4" thickBot="1" x14ac:dyDescent="0.35">
      <c r="B28" s="307" t="s">
        <v>275</v>
      </c>
      <c r="C28" s="1337" t="s">
        <v>720</v>
      </c>
      <c r="D28" s="319" t="s">
        <v>10</v>
      </c>
      <c r="E28" s="322">
        <f>'16. APP UIIDP'!D66</f>
        <v>2380</v>
      </c>
      <c r="F28" s="323">
        <f>'16. APP UIIDP'!H65</f>
        <v>3079444.99</v>
      </c>
      <c r="G28" s="320">
        <f t="shared" si="0"/>
        <v>1683564.5118380669</v>
      </c>
      <c r="H28" s="320">
        <f t="shared" si="1"/>
        <v>697940.2390809668</v>
      </c>
      <c r="I28" s="320">
        <f t="shared" si="2"/>
        <v>697940.2390809668</v>
      </c>
      <c r="J28" s="311"/>
      <c r="K28" s="311"/>
      <c r="L28" s="311"/>
      <c r="M28" s="311"/>
      <c r="N28" s="293"/>
      <c r="R28" s="289">
        <f>R27*2</f>
        <v>0.83924420604158612</v>
      </c>
    </row>
    <row r="29" spans="2:18" ht="29.4" thickBot="1" x14ac:dyDescent="0.35">
      <c r="B29" s="307" t="s">
        <v>276</v>
      </c>
      <c r="C29" s="1337" t="s">
        <v>721</v>
      </c>
      <c r="D29" s="319" t="s">
        <v>10</v>
      </c>
      <c r="E29" s="310">
        <f>'16. APP UIIDP'!D69</f>
        <v>2700</v>
      </c>
      <c r="F29" s="310">
        <f>'16. APP UIIDP'!H68</f>
        <v>3043254.7</v>
      </c>
      <c r="G29" s="320">
        <f t="shared" si="0"/>
        <v>1663778.9049787191</v>
      </c>
      <c r="H29" s="320">
        <f t="shared" si="1"/>
        <v>689737.89751064067</v>
      </c>
      <c r="I29" s="320">
        <f t="shared" si="2"/>
        <v>689737.89751064067</v>
      </c>
      <c r="J29" s="311"/>
      <c r="K29" s="311"/>
      <c r="L29" s="311"/>
      <c r="M29" s="311"/>
      <c r="N29" s="293"/>
      <c r="R29" s="927">
        <f>R28+1</f>
        <v>1.8392442060415861</v>
      </c>
    </row>
    <row r="30" spans="2:18" ht="29.4" thickBot="1" x14ac:dyDescent="0.35">
      <c r="B30" s="307" t="s">
        <v>277</v>
      </c>
      <c r="C30" s="1337" t="s">
        <v>722</v>
      </c>
      <c r="D30" s="319" t="s">
        <v>10</v>
      </c>
      <c r="E30" s="310">
        <f>'16. APP UIIDP'!D72</f>
        <v>2320</v>
      </c>
      <c r="F30" s="310">
        <f>'16. APP UIIDP'!H71</f>
        <v>2854440.11</v>
      </c>
      <c r="G30" s="320">
        <f t="shared" si="0"/>
        <v>1560552.0104982122</v>
      </c>
      <c r="H30" s="320">
        <f t="shared" si="1"/>
        <v>646944.04975089384</v>
      </c>
      <c r="I30" s="320">
        <f t="shared" si="2"/>
        <v>646944.04975089384</v>
      </c>
      <c r="J30" s="311"/>
      <c r="K30" s="311"/>
      <c r="L30" s="311"/>
      <c r="M30" s="311"/>
      <c r="N30" s="293"/>
    </row>
    <row r="31" spans="2:18" ht="29.4" thickBot="1" x14ac:dyDescent="0.35">
      <c r="B31" s="307" t="s">
        <v>278</v>
      </c>
      <c r="C31" s="1337" t="s">
        <v>723</v>
      </c>
      <c r="D31" s="319" t="s">
        <v>10</v>
      </c>
      <c r="E31" s="310">
        <f>'16. APP UIIDP'!D75</f>
        <v>2800</v>
      </c>
      <c r="F31" s="310">
        <f>'16. APP UIIDP'!H74</f>
        <v>3405735.48</v>
      </c>
      <c r="G31" s="320">
        <f t="shared" si="0"/>
        <v>1861950.9065611798</v>
      </c>
      <c r="H31" s="320">
        <f t="shared" si="1"/>
        <v>771892.28671940998</v>
      </c>
      <c r="I31" s="320">
        <f t="shared" si="2"/>
        <v>771892.28671940998</v>
      </c>
      <c r="J31" s="311"/>
      <c r="K31" s="311"/>
      <c r="L31" s="311"/>
      <c r="M31" s="311"/>
      <c r="N31" s="293"/>
    </row>
    <row r="32" spans="2:18" ht="29.4" thickBot="1" x14ac:dyDescent="0.35">
      <c r="B32" s="307" t="s">
        <v>753</v>
      </c>
      <c r="C32" s="1337" t="s">
        <v>724</v>
      </c>
      <c r="D32" s="319" t="s">
        <v>10</v>
      </c>
      <c r="E32" s="310">
        <f>'16. APP UIIDP'!D78</f>
        <v>2450</v>
      </c>
      <c r="F32" s="310">
        <f>'16. APP UIIDP'!H77</f>
        <v>3165314.25</v>
      </c>
      <c r="G32" s="320">
        <f t="shared" si="0"/>
        <v>1730510.1267989613</v>
      </c>
      <c r="H32" s="320">
        <f t="shared" si="1"/>
        <v>717402.06160051934</v>
      </c>
      <c r="I32" s="320">
        <f t="shared" si="2"/>
        <v>717402.06160051934</v>
      </c>
      <c r="J32" s="311"/>
      <c r="K32" s="311"/>
      <c r="L32" s="311"/>
      <c r="M32" s="311"/>
      <c r="N32" s="293"/>
    </row>
    <row r="33" spans="2:16" ht="29.4" thickBot="1" x14ac:dyDescent="0.35">
      <c r="B33" s="307" t="s">
        <v>754</v>
      </c>
      <c r="C33" s="1337" t="s">
        <v>725</v>
      </c>
      <c r="D33" s="319" t="s">
        <v>10</v>
      </c>
      <c r="E33" s="310">
        <f>'16. APP UIIDP'!D81</f>
        <v>1960</v>
      </c>
      <c r="F33" s="310">
        <f>'16. APP UIIDP'!H80</f>
        <v>2570254.38</v>
      </c>
      <c r="G33" s="320">
        <f t="shared" si="0"/>
        <v>1405184.7247202659</v>
      </c>
      <c r="H33" s="320">
        <f t="shared" si="1"/>
        <v>582534.82763986685</v>
      </c>
      <c r="I33" s="320">
        <f t="shared" si="2"/>
        <v>582534.82763986685</v>
      </c>
      <c r="J33" s="311"/>
      <c r="K33" s="311"/>
      <c r="L33" s="311"/>
      <c r="M33" s="311"/>
      <c r="N33" s="293"/>
    </row>
    <row r="34" spans="2:16" ht="29.4" thickBot="1" x14ac:dyDescent="0.35">
      <c r="B34" s="307" t="s">
        <v>755</v>
      </c>
      <c r="C34" s="1337" t="s">
        <v>726</v>
      </c>
      <c r="D34" s="319" t="s">
        <v>10</v>
      </c>
      <c r="E34" s="310">
        <f>'16. APP UIIDP'!D84</f>
        <v>1960</v>
      </c>
      <c r="F34" s="310">
        <f>'16. APP UIIDP'!H83</f>
        <v>2504746.2999999998</v>
      </c>
      <c r="G34" s="320">
        <f t="shared" si="0"/>
        <v>1369370.7780237708</v>
      </c>
      <c r="H34" s="320">
        <f t="shared" si="1"/>
        <v>567687.7609881144</v>
      </c>
      <c r="I34" s="320">
        <f t="shared" si="2"/>
        <v>567687.7609881144</v>
      </c>
      <c r="J34" s="311"/>
      <c r="K34" s="311"/>
      <c r="L34" s="311"/>
      <c r="M34" s="311"/>
      <c r="N34" s="293"/>
    </row>
    <row r="35" spans="2:16" ht="29.4" thickBot="1" x14ac:dyDescent="0.35">
      <c r="B35" s="307" t="s">
        <v>756</v>
      </c>
      <c r="C35" s="1337" t="s">
        <v>727</v>
      </c>
      <c r="D35" s="319" t="s">
        <v>10</v>
      </c>
      <c r="E35" s="310">
        <f>'16. APP UIIDP'!D87</f>
        <v>1820</v>
      </c>
      <c r="F35" s="310">
        <f>'16. APP UIIDP'!H86</f>
        <v>2334729.2000000002</v>
      </c>
      <c r="G35" s="320">
        <f t="shared" si="0"/>
        <v>1276420.6662682032</v>
      </c>
      <c r="H35" s="320">
        <f t="shared" si="1"/>
        <v>529154.26686589851</v>
      </c>
      <c r="I35" s="320">
        <f t="shared" si="2"/>
        <v>529154.26686589851</v>
      </c>
      <c r="J35" s="311"/>
      <c r="K35" s="311"/>
      <c r="L35" s="311"/>
      <c r="M35" s="311"/>
      <c r="N35" s="293"/>
    </row>
    <row r="36" spans="2:16" ht="29.4" thickBot="1" x14ac:dyDescent="0.35">
      <c r="B36" s="307" t="s">
        <v>757</v>
      </c>
      <c r="C36" s="1337" t="s">
        <v>728</v>
      </c>
      <c r="D36" s="319" t="s">
        <v>10</v>
      </c>
      <c r="E36" s="310">
        <f>'16. APP UIIDP'!D90</f>
        <v>1620</v>
      </c>
      <c r="F36" s="310">
        <f>'16. APP UIIDP'!H89</f>
        <v>1903508.31</v>
      </c>
      <c r="G36" s="320">
        <f t="shared" si="0"/>
        <v>1040667.7336700382</v>
      </c>
      <c r="H36" s="320">
        <f t="shared" si="1"/>
        <v>431420.28816498094</v>
      </c>
      <c r="I36" s="320">
        <f t="shared" si="2"/>
        <v>431420.28816498094</v>
      </c>
      <c r="J36" s="311"/>
      <c r="K36" s="311"/>
      <c r="L36" s="311"/>
      <c r="M36" s="311"/>
      <c r="N36" s="293"/>
    </row>
    <row r="37" spans="2:16" ht="15" thickBot="1" x14ac:dyDescent="0.35">
      <c r="B37" s="307" t="s">
        <v>758</v>
      </c>
      <c r="C37" s="1337" t="s">
        <v>729</v>
      </c>
      <c r="D37" s="319" t="s">
        <v>10</v>
      </c>
      <c r="E37" s="310">
        <f>'16. APP UIIDP'!D93</f>
        <v>2160</v>
      </c>
      <c r="F37" s="310">
        <f>'16. APP UIIDP'!H92</f>
        <v>2606027.61</v>
      </c>
      <c r="G37" s="320">
        <f t="shared" si="0"/>
        <v>1424742.3205524362</v>
      </c>
      <c r="H37" s="320">
        <f t="shared" si="1"/>
        <v>590642.64472378197</v>
      </c>
      <c r="I37" s="320">
        <f t="shared" si="2"/>
        <v>590642.64472378197</v>
      </c>
      <c r="J37" s="311"/>
      <c r="K37" s="311"/>
      <c r="L37" s="311"/>
      <c r="M37" s="311"/>
      <c r="N37" s="293"/>
    </row>
    <row r="38" spans="2:16" ht="15" thickBot="1" x14ac:dyDescent="0.35">
      <c r="B38" s="307" t="s">
        <v>759</v>
      </c>
      <c r="C38" s="1337" t="s">
        <v>730</v>
      </c>
      <c r="D38" s="319" t="s">
        <v>10</v>
      </c>
      <c r="E38" s="310">
        <f>'16. APP UIIDP'!D96</f>
        <v>1869</v>
      </c>
      <c r="F38" s="310">
        <f>'16. APP UIIDP'!H95</f>
        <v>2484813.7599999998</v>
      </c>
      <c r="G38" s="320">
        <f t="shared" si="0"/>
        <v>1358473.451692641</v>
      </c>
      <c r="H38" s="320">
        <f t="shared" si="1"/>
        <v>563170.15415367938</v>
      </c>
      <c r="I38" s="320">
        <f t="shared" si="2"/>
        <v>563170.15415367938</v>
      </c>
      <c r="J38" s="311"/>
      <c r="K38" s="311"/>
      <c r="L38" s="311"/>
      <c r="M38" s="311"/>
      <c r="N38" s="293"/>
    </row>
    <row r="39" spans="2:16" ht="15" thickBot="1" x14ac:dyDescent="0.35">
      <c r="B39" s="289" t="s">
        <v>806</v>
      </c>
      <c r="C39" s="1337" t="s">
        <v>731</v>
      </c>
      <c r="D39" s="319" t="s">
        <v>10</v>
      </c>
      <c r="E39" s="310">
        <f>'16. APP UIIDP'!D99</f>
        <v>1520</v>
      </c>
      <c r="F39" s="310">
        <f>'16. APP UIIDP'!H98</f>
        <v>1870967.11</v>
      </c>
      <c r="G39" s="320">
        <f t="shared" si="0"/>
        <v>1022877.122157077</v>
      </c>
      <c r="H39" s="320">
        <f t="shared" si="1"/>
        <v>424044.99392146163</v>
      </c>
      <c r="I39" s="320">
        <f t="shared" si="2"/>
        <v>424044.99392146163</v>
      </c>
      <c r="J39" s="311"/>
      <c r="K39" s="311"/>
      <c r="L39" s="311"/>
      <c r="M39" s="311"/>
      <c r="N39" s="293"/>
    </row>
    <row r="40" spans="2:16" ht="15" thickBot="1" x14ac:dyDescent="0.35">
      <c r="B40" s="289" t="s">
        <v>807</v>
      </c>
      <c r="C40" s="1337" t="s">
        <v>732</v>
      </c>
      <c r="D40" s="319" t="s">
        <v>10</v>
      </c>
      <c r="E40" s="310">
        <f>'16. APP UIIDP'!D102</f>
        <v>1760</v>
      </c>
      <c r="F40" s="310">
        <f>'16. APP UIIDP'!H101</f>
        <v>2147879.7999999998</v>
      </c>
      <c r="G40" s="320">
        <f t="shared" si="0"/>
        <v>1174268.1615409679</v>
      </c>
      <c r="H40" s="320">
        <f t="shared" si="1"/>
        <v>486805.81922951608</v>
      </c>
      <c r="I40" s="320">
        <f t="shared" si="2"/>
        <v>486805.81922951608</v>
      </c>
      <c r="J40" s="311"/>
      <c r="K40" s="311"/>
      <c r="L40" s="311"/>
      <c r="M40" s="311"/>
      <c r="N40" s="293"/>
    </row>
    <row r="41" spans="2:16" ht="14.4" thickBot="1" x14ac:dyDescent="0.35">
      <c r="B41" s="325"/>
      <c r="C41" s="326" t="s">
        <v>279</v>
      </c>
      <c r="D41" s="327"/>
      <c r="E41" s="328">
        <f t="shared" ref="E41:M41" si="3">SUM(E11:E40)</f>
        <v>61486</v>
      </c>
      <c r="F41" s="328">
        <f t="shared" si="3"/>
        <v>77970295.160000011</v>
      </c>
      <c r="G41" s="328">
        <f t="shared" si="3"/>
        <v>42627168.965572394</v>
      </c>
      <c r="H41" s="328">
        <f t="shared" si="3"/>
        <v>17671563.097213808</v>
      </c>
      <c r="I41" s="328">
        <f t="shared" si="3"/>
        <v>17671563.097213808</v>
      </c>
      <c r="J41" s="328">
        <f t="shared" si="3"/>
        <v>0</v>
      </c>
      <c r="K41" s="328">
        <f t="shared" si="3"/>
        <v>0</v>
      </c>
      <c r="L41" s="328">
        <f t="shared" si="3"/>
        <v>0</v>
      </c>
      <c r="M41" s="328">
        <f t="shared" si="3"/>
        <v>0</v>
      </c>
      <c r="N41" s="293"/>
    </row>
    <row r="42" spans="2:16" ht="14.4" thickBot="1" x14ac:dyDescent="0.35">
      <c r="B42" s="348">
        <v>1.2</v>
      </c>
      <c r="C42" s="349" t="s">
        <v>397</v>
      </c>
      <c r="D42" s="349"/>
      <c r="E42" s="350"/>
      <c r="F42" s="350"/>
      <c r="G42" s="350"/>
      <c r="H42" s="350"/>
      <c r="I42" s="350"/>
      <c r="J42" s="349"/>
      <c r="K42" s="349"/>
      <c r="L42" s="349"/>
      <c r="M42" s="349"/>
      <c r="N42" s="293"/>
    </row>
    <row r="43" spans="2:16" s="339" customFormat="1" ht="27" thickBot="1" x14ac:dyDescent="0.35">
      <c r="B43" s="351" t="s">
        <v>178</v>
      </c>
      <c r="C43" s="352" t="s">
        <v>516</v>
      </c>
      <c r="D43" s="353" t="s">
        <v>517</v>
      </c>
      <c r="E43" s="354">
        <v>2.4</v>
      </c>
      <c r="F43" s="355">
        <f>'16. APP UIIDP'!H168</f>
        <v>6573707.2599999998</v>
      </c>
      <c r="G43" s="355">
        <f>F43/1.82912206116649</f>
        <v>3593913.932571419</v>
      </c>
      <c r="H43" s="355">
        <f>G43*0.414561030583245</f>
        <v>1489896.6637142904</v>
      </c>
      <c r="I43" s="355">
        <f>H43</f>
        <v>1489896.6637142904</v>
      </c>
      <c r="J43" s="356"/>
      <c r="K43" s="356"/>
      <c r="L43" s="422">
        <v>0</v>
      </c>
      <c r="M43" s="356"/>
      <c r="N43" s="338"/>
      <c r="P43" s="925"/>
    </row>
    <row r="44" spans="2:16" s="339" customFormat="1" ht="14.4" thickBot="1" x14ac:dyDescent="0.35">
      <c r="B44" s="348"/>
      <c r="C44" s="349" t="s">
        <v>535</v>
      </c>
      <c r="D44" s="349"/>
      <c r="E44" s="350">
        <f>E43</f>
        <v>2.4</v>
      </c>
      <c r="F44" s="350">
        <f>F43</f>
        <v>6573707.2599999998</v>
      </c>
      <c r="G44" s="350">
        <f>G43</f>
        <v>3593913.932571419</v>
      </c>
      <c r="H44" s="350">
        <f>H43</f>
        <v>1489896.6637142904</v>
      </c>
      <c r="I44" s="350">
        <f>I43</f>
        <v>1489896.6637142904</v>
      </c>
      <c r="J44" s="349"/>
      <c r="K44" s="349"/>
      <c r="L44" s="350">
        <f>L43</f>
        <v>0</v>
      </c>
      <c r="M44" s="349"/>
      <c r="N44" s="338"/>
      <c r="P44" s="925"/>
    </row>
    <row r="45" spans="2:16" ht="14.4" thickBot="1" x14ac:dyDescent="0.35">
      <c r="B45" s="329">
        <v>1.3</v>
      </c>
      <c r="C45" s="330" t="s">
        <v>536</v>
      </c>
      <c r="D45" s="330"/>
      <c r="E45" s="331"/>
      <c r="F45" s="331"/>
      <c r="G45" s="331"/>
      <c r="H45" s="331"/>
      <c r="I45" s="331"/>
      <c r="J45" s="330"/>
      <c r="K45" s="330"/>
      <c r="L45" s="330"/>
      <c r="M45" s="330"/>
      <c r="N45" s="293"/>
    </row>
    <row r="46" spans="2:16" ht="15" thickBot="1" x14ac:dyDescent="0.35">
      <c r="B46" s="307" t="s">
        <v>181</v>
      </c>
      <c r="C46" s="3" t="s">
        <v>744</v>
      </c>
      <c r="D46" s="319" t="s">
        <v>3</v>
      </c>
      <c r="E46" s="332">
        <v>1</v>
      </c>
      <c r="F46" s="310">
        <f>'16. APP UIIDP'!H144</f>
        <v>1010619.57</v>
      </c>
      <c r="G46" s="320">
        <f>F46/1.82912206116649</f>
        <v>552516.19968734914</v>
      </c>
      <c r="H46" s="320">
        <f>G46*0.414561030583245</f>
        <v>229051.68515632546</v>
      </c>
      <c r="I46" s="320">
        <f>H46</f>
        <v>229051.68515632546</v>
      </c>
      <c r="J46" s="311"/>
      <c r="K46" s="311"/>
      <c r="L46" s="311"/>
      <c r="M46" s="311"/>
      <c r="N46" s="293">
        <v>1000</v>
      </c>
      <c r="O46" s="289">
        <v>280</v>
      </c>
      <c r="P46" s="290">
        <f>N46*O46</f>
        <v>280000</v>
      </c>
    </row>
    <row r="47" spans="2:16" ht="15" thickBot="1" x14ac:dyDescent="0.35">
      <c r="B47" s="307" t="s">
        <v>182</v>
      </c>
      <c r="C47" s="3" t="s">
        <v>745</v>
      </c>
      <c r="D47" s="319" t="s">
        <v>3</v>
      </c>
      <c r="E47" s="332">
        <v>1</v>
      </c>
      <c r="F47" s="310">
        <f>'16. APP UIIDP'!H147</f>
        <v>1203996.9099999999</v>
      </c>
      <c r="G47" s="320">
        <f>F47/1.82912206116649</f>
        <v>658237.59691147809</v>
      </c>
      <c r="H47" s="320">
        <f>G47*0.414561030583245</f>
        <v>272879.65654426097</v>
      </c>
      <c r="I47" s="320">
        <f>H47</f>
        <v>272879.65654426097</v>
      </c>
      <c r="J47" s="311"/>
      <c r="K47" s="311"/>
      <c r="L47" s="311"/>
      <c r="M47" s="311"/>
      <c r="N47" s="293">
        <v>1000</v>
      </c>
      <c r="O47" s="289">
        <v>200</v>
      </c>
      <c r="P47" s="290">
        <f t="shared" ref="P47:P48" si="4">N47*O47</f>
        <v>200000</v>
      </c>
    </row>
    <row r="48" spans="2:16" ht="15" thickBot="1" x14ac:dyDescent="0.35">
      <c r="B48" s="307" t="s">
        <v>531</v>
      </c>
      <c r="C48" s="3" t="s">
        <v>746</v>
      </c>
      <c r="D48" s="319" t="s">
        <v>3</v>
      </c>
      <c r="E48" s="332">
        <v>1</v>
      </c>
      <c r="F48" s="310">
        <f>'16. APP UIIDP'!H150</f>
        <v>1159160.31</v>
      </c>
      <c r="G48" s="320">
        <f>F48/1.82912206116649</f>
        <v>633724.96270739101</v>
      </c>
      <c r="H48" s="320">
        <f>G48*0.414561030583245</f>
        <v>262717.67364630452</v>
      </c>
      <c r="I48" s="320">
        <f>H48</f>
        <v>262717.67364630452</v>
      </c>
      <c r="J48" s="311"/>
      <c r="K48" s="311"/>
      <c r="L48" s="311"/>
      <c r="M48" s="311"/>
      <c r="N48" s="293">
        <v>1450</v>
      </c>
      <c r="O48" s="289">
        <v>104</v>
      </c>
      <c r="P48" s="290">
        <f t="shared" si="4"/>
        <v>150800</v>
      </c>
    </row>
    <row r="49" spans="2:17" ht="15" thickBot="1" x14ac:dyDescent="0.35">
      <c r="B49" s="307" t="s">
        <v>532</v>
      </c>
      <c r="C49" s="1406" t="s">
        <v>747</v>
      </c>
      <c r="D49" s="319" t="s">
        <v>3</v>
      </c>
      <c r="E49" s="333">
        <v>1</v>
      </c>
      <c r="F49" s="310">
        <f>'16. APP UIIDP'!H153</f>
        <v>946138.84</v>
      </c>
      <c r="G49" s="320">
        <f>F49/1.82912206116649</f>
        <v>517263.91589012754</v>
      </c>
      <c r="H49" s="320">
        <f>G49*0.414561030583245</f>
        <v>214437.46205493624</v>
      </c>
      <c r="I49" s="320">
        <f>H49</f>
        <v>214437.46205493624</v>
      </c>
      <c r="J49" s="311"/>
      <c r="K49" s="311"/>
      <c r="L49" s="311"/>
      <c r="M49" s="311"/>
      <c r="N49" s="293">
        <f>N46+N47+N48</f>
        <v>3450</v>
      </c>
      <c r="O49" s="293">
        <f t="shared" ref="O49:P49" si="5">O46+O47+O48</f>
        <v>584</v>
      </c>
      <c r="P49" s="293">
        <f t="shared" si="5"/>
        <v>630800</v>
      </c>
    </row>
    <row r="50" spans="2:17" s="1353" customFormat="1" ht="15" thickBot="1" x14ac:dyDescent="0.35">
      <c r="B50" s="1894" t="s">
        <v>537</v>
      </c>
      <c r="C50" s="1895" t="s">
        <v>885</v>
      </c>
      <c r="D50" s="1896" t="s">
        <v>3</v>
      </c>
      <c r="E50" s="1897">
        <v>1</v>
      </c>
      <c r="F50" s="1360">
        <f>'16. APP UIIDP'!H158</f>
        <v>5065074.3099999996</v>
      </c>
      <c r="G50" s="1898">
        <f>F50/1.82912206116649</f>
        <v>2769128.6533222604</v>
      </c>
      <c r="H50" s="1898">
        <f>G50*0.414561030583245</f>
        <v>1147972.8283388696</v>
      </c>
      <c r="I50" s="1898">
        <f>H50</f>
        <v>1147972.8283388696</v>
      </c>
      <c r="J50" s="1899"/>
      <c r="K50" s="1899"/>
      <c r="L50" s="1899"/>
      <c r="M50" s="1899"/>
      <c r="N50" s="1358">
        <f>N49/1000</f>
        <v>3.45</v>
      </c>
      <c r="P50" s="1421">
        <f>P49/N49</f>
        <v>182.84057971014494</v>
      </c>
      <c r="Q50" s="1353">
        <f>P49/N50</f>
        <v>182840.57971014493</v>
      </c>
    </row>
    <row r="51" spans="2:17" ht="14.4" thickBot="1" x14ac:dyDescent="0.35">
      <c r="B51" s="329"/>
      <c r="C51" s="330" t="s">
        <v>539</v>
      </c>
      <c r="D51" s="330"/>
      <c r="E51" s="331"/>
      <c r="F51" s="331">
        <f>SUM(F46:F50)</f>
        <v>9384989.9399999995</v>
      </c>
      <c r="G51" s="331">
        <f>SUM(G46:G50)</f>
        <v>5130871.3285186067</v>
      </c>
      <c r="H51" s="331">
        <f>SUM(H46:H50)</f>
        <v>2127059.3057406968</v>
      </c>
      <c r="I51" s="331">
        <f>SUM(I46:I50)</f>
        <v>2127059.3057406968</v>
      </c>
      <c r="J51" s="331">
        <f>SUM(J46:J50)</f>
        <v>0</v>
      </c>
      <c r="K51" s="330"/>
      <c r="L51" s="330"/>
      <c r="M51" s="330"/>
      <c r="N51" s="293"/>
    </row>
    <row r="52" spans="2:17" s="339" customFormat="1" ht="14.4" thickBot="1" x14ac:dyDescent="0.35">
      <c r="B52" s="335"/>
      <c r="C52" s="336" t="s">
        <v>315</v>
      </c>
      <c r="D52" s="336"/>
      <c r="E52" s="337"/>
      <c r="F52" s="337">
        <f>F41+F44+F51</f>
        <v>93928992.360000014</v>
      </c>
      <c r="G52" s="337">
        <f t="shared" ref="G52:M52" si="6">G41+G44+G51</f>
        <v>51351954.22666242</v>
      </c>
      <c r="H52" s="337">
        <f t="shared" si="6"/>
        <v>21288519.066668794</v>
      </c>
      <c r="I52" s="337">
        <f t="shared" si="6"/>
        <v>21288519.066668794</v>
      </c>
      <c r="J52" s="337">
        <f t="shared" si="6"/>
        <v>0</v>
      </c>
      <c r="K52" s="337">
        <f t="shared" si="6"/>
        <v>0</v>
      </c>
      <c r="L52" s="337">
        <f t="shared" si="6"/>
        <v>0</v>
      </c>
      <c r="M52" s="337">
        <f t="shared" si="6"/>
        <v>0</v>
      </c>
      <c r="N52" s="338"/>
      <c r="P52" s="925"/>
    </row>
    <row r="53" spans="2:17" s="339" customFormat="1" ht="14.4" thickBot="1" x14ac:dyDescent="0.35">
      <c r="B53" s="340"/>
      <c r="C53" s="341" t="s">
        <v>316</v>
      </c>
      <c r="D53" s="342"/>
      <c r="E53" s="343"/>
      <c r="F53" s="343"/>
      <c r="G53" s="343"/>
      <c r="H53" s="343"/>
      <c r="I53" s="343"/>
      <c r="J53" s="342"/>
      <c r="K53" s="342"/>
      <c r="L53" s="342"/>
      <c r="M53" s="342"/>
      <c r="N53" s="338"/>
      <c r="P53" s="925"/>
    </row>
    <row r="54" spans="2:17" ht="14.4" thickBot="1" x14ac:dyDescent="0.35">
      <c r="B54" s="344">
        <v>1</v>
      </c>
      <c r="C54" s="345" t="s">
        <v>289</v>
      </c>
      <c r="D54" s="345"/>
      <c r="E54" s="346"/>
      <c r="F54" s="346"/>
      <c r="G54" s="346"/>
      <c r="H54" s="346"/>
      <c r="I54" s="346"/>
      <c r="J54" s="345"/>
      <c r="K54" s="345"/>
      <c r="L54" s="345"/>
      <c r="M54" s="345"/>
      <c r="N54" s="293"/>
    </row>
    <row r="55" spans="2:17" ht="27" thickBot="1" x14ac:dyDescent="0.35">
      <c r="B55" s="307">
        <v>1.1000000000000001</v>
      </c>
      <c r="C55" s="1407" t="s">
        <v>760</v>
      </c>
      <c r="D55" s="319" t="s">
        <v>10</v>
      </c>
      <c r="E55" s="332">
        <f>'16. APP UIIDP'!D181</f>
        <v>3745</v>
      </c>
      <c r="F55" s="310">
        <f>'16. APP UIIDP'!H180</f>
        <v>2353222.5699999998</v>
      </c>
      <c r="G55" s="320"/>
      <c r="H55" s="320"/>
      <c r="I55" s="320"/>
      <c r="J55" s="311"/>
      <c r="K55" s="311"/>
      <c r="L55" s="688">
        <f>F55</f>
        <v>2353222.5699999998</v>
      </c>
      <c r="M55" s="311"/>
      <c r="N55" s="293"/>
      <c r="P55" s="289"/>
    </row>
    <row r="56" spans="2:17" ht="14.4" thickBot="1" x14ac:dyDescent="0.35">
      <c r="B56" s="307">
        <v>1.2</v>
      </c>
      <c r="C56" s="307" t="s">
        <v>492</v>
      </c>
      <c r="D56" s="319" t="s">
        <v>10</v>
      </c>
      <c r="E56" s="332">
        <f>'16. APP UIIDP'!D184</f>
        <v>70</v>
      </c>
      <c r="F56" s="310">
        <f>'16. APP UIIDP'!H183</f>
        <v>653712.94999999995</v>
      </c>
      <c r="G56" s="320"/>
      <c r="H56" s="320"/>
      <c r="I56" s="320"/>
      <c r="J56" s="311"/>
      <c r="K56" s="311"/>
      <c r="L56" s="688">
        <f t="shared" ref="L56:L62" si="7">F56</f>
        <v>653712.94999999995</v>
      </c>
      <c r="M56" s="311"/>
      <c r="N56" s="293"/>
      <c r="P56" s="289"/>
    </row>
    <row r="57" spans="2:17" ht="14.4" thickBot="1" x14ac:dyDescent="0.35">
      <c r="B57" s="390">
        <v>1.3</v>
      </c>
      <c r="C57" s="307" t="s">
        <v>493</v>
      </c>
      <c r="D57" s="319" t="s">
        <v>10</v>
      </c>
      <c r="E57" s="332">
        <f>'16. APP UIIDP'!D187</f>
        <v>140</v>
      </c>
      <c r="F57" s="310">
        <f>'16. APP UIIDP'!H186</f>
        <v>674018.23</v>
      </c>
      <c r="G57" s="320"/>
      <c r="H57" s="320"/>
      <c r="I57" s="320"/>
      <c r="J57" s="311"/>
      <c r="K57" s="311"/>
      <c r="L57" s="688">
        <f t="shared" si="7"/>
        <v>674018.23</v>
      </c>
      <c r="M57" s="311"/>
      <c r="N57" s="293"/>
      <c r="P57" s="289"/>
    </row>
    <row r="58" spans="2:17" ht="14.4" thickBot="1" x14ac:dyDescent="0.35">
      <c r="B58" s="685">
        <v>1.4</v>
      </c>
      <c r="C58" s="307" t="s">
        <v>494</v>
      </c>
      <c r="D58" s="319" t="s">
        <v>10</v>
      </c>
      <c r="E58" s="332">
        <f>'16. APP UIIDP'!D190</f>
        <v>70</v>
      </c>
      <c r="F58" s="310">
        <f>'16. APP UIIDP'!H189</f>
        <v>552825.18000000005</v>
      </c>
      <c r="G58" s="320"/>
      <c r="H58" s="320"/>
      <c r="I58" s="320"/>
      <c r="J58" s="311"/>
      <c r="K58" s="311"/>
      <c r="L58" s="688">
        <f t="shared" si="7"/>
        <v>552825.18000000005</v>
      </c>
      <c r="M58" s="311"/>
      <c r="N58" s="293"/>
      <c r="P58" s="289"/>
    </row>
    <row r="59" spans="2:17" ht="14.4" thickBot="1" x14ac:dyDescent="0.35">
      <c r="B59" s="685">
        <v>1.5</v>
      </c>
      <c r="C59" s="307" t="s">
        <v>495</v>
      </c>
      <c r="D59" s="319" t="s">
        <v>10</v>
      </c>
      <c r="E59" s="332">
        <f>'16. APP UIIDP'!D193</f>
        <v>70</v>
      </c>
      <c r="F59" s="310">
        <f>'16. APP UIIDP'!H192</f>
        <v>521796.62</v>
      </c>
      <c r="G59" s="320"/>
      <c r="H59" s="320"/>
      <c r="I59" s="320"/>
      <c r="J59" s="311"/>
      <c r="K59" s="311"/>
      <c r="L59" s="688">
        <f t="shared" si="7"/>
        <v>521796.62</v>
      </c>
      <c r="M59" s="311"/>
      <c r="N59" s="293"/>
      <c r="P59" s="289"/>
    </row>
    <row r="60" spans="2:17" ht="14.4" thickBot="1" x14ac:dyDescent="0.35">
      <c r="B60" s="685">
        <v>1.6</v>
      </c>
      <c r="C60" s="307" t="s">
        <v>496</v>
      </c>
      <c r="D60" s="319" t="s">
        <v>10</v>
      </c>
      <c r="E60" s="332">
        <f>'16. APP UIIDP'!D196</f>
        <v>70</v>
      </c>
      <c r="F60" s="310">
        <f>'16. APP UIIDP'!H195</f>
        <v>419452.44</v>
      </c>
      <c r="G60" s="320"/>
      <c r="H60" s="320"/>
      <c r="I60" s="320"/>
      <c r="J60" s="311"/>
      <c r="K60" s="311"/>
      <c r="L60" s="688">
        <f t="shared" si="7"/>
        <v>419452.44</v>
      </c>
      <c r="M60" s="311"/>
      <c r="N60" s="293"/>
      <c r="P60" s="289"/>
    </row>
    <row r="61" spans="2:17" ht="14.4" thickBot="1" x14ac:dyDescent="0.35">
      <c r="B61" s="685">
        <v>1.7</v>
      </c>
      <c r="C61" s="390" t="s">
        <v>144</v>
      </c>
      <c r="D61" s="319" t="s">
        <v>10</v>
      </c>
      <c r="E61" s="332">
        <f>'16. APP UIIDP'!D199</f>
        <v>35</v>
      </c>
      <c r="F61" s="310">
        <f>'16. APP UIIDP'!H198</f>
        <v>475911.75</v>
      </c>
      <c r="G61" s="320"/>
      <c r="H61" s="320"/>
      <c r="I61" s="320"/>
      <c r="J61" s="311"/>
      <c r="K61" s="311"/>
      <c r="L61" s="688">
        <f t="shared" si="7"/>
        <v>475911.75</v>
      </c>
      <c r="M61" s="311"/>
      <c r="N61" s="293"/>
      <c r="P61" s="289"/>
    </row>
    <row r="62" spans="2:17" ht="14.4" thickBot="1" x14ac:dyDescent="0.35">
      <c r="B62" s="686"/>
      <c r="C62" s="345" t="s">
        <v>290</v>
      </c>
      <c r="D62" s="345"/>
      <c r="E62" s="687">
        <f>SUM(E55:E61)</f>
        <v>4200</v>
      </c>
      <c r="F62" s="347">
        <f>SUM(F55:F61)</f>
        <v>5650939.7400000002</v>
      </c>
      <c r="G62" s="347">
        <f>SUM(G56:G57)</f>
        <v>0</v>
      </c>
      <c r="H62" s="347">
        <f>SUM(H56:H57)</f>
        <v>0</v>
      </c>
      <c r="I62" s="347">
        <f>SUM(I56:I57)</f>
        <v>0</v>
      </c>
      <c r="J62" s="345"/>
      <c r="K62" s="345"/>
      <c r="L62" s="688">
        <f t="shared" si="7"/>
        <v>5650939.7400000002</v>
      </c>
      <c r="M62" s="345"/>
      <c r="N62" s="293"/>
    </row>
    <row r="63" spans="2:17" ht="14.4" thickBot="1" x14ac:dyDescent="0.35">
      <c r="B63" s="696">
        <v>1.3</v>
      </c>
      <c r="C63" s="330" t="s">
        <v>541</v>
      </c>
      <c r="D63" s="330"/>
      <c r="E63" s="331"/>
      <c r="F63" s="331"/>
      <c r="G63" s="331"/>
      <c r="H63" s="331"/>
      <c r="I63" s="331"/>
      <c r="J63" s="330"/>
      <c r="K63" s="330"/>
      <c r="L63" s="330"/>
      <c r="M63" s="330"/>
      <c r="N63" s="293"/>
    </row>
    <row r="64" spans="2:17" ht="14.4" thickBot="1" x14ac:dyDescent="0.35">
      <c r="B64" s="307" t="s">
        <v>181</v>
      </c>
      <c r="C64" s="308" t="s">
        <v>1041</v>
      </c>
      <c r="D64" s="319" t="s">
        <v>3</v>
      </c>
      <c r="E64" s="1081">
        <v>1</v>
      </c>
      <c r="F64" s="310">
        <f>'16. APP UIIDP'!G234</f>
        <v>539035.66</v>
      </c>
      <c r="G64" s="320">
        <v>0</v>
      </c>
      <c r="H64" s="320">
        <f>G64*0.44</f>
        <v>0</v>
      </c>
      <c r="I64" s="320">
        <f>H64</f>
        <v>0</v>
      </c>
      <c r="J64" s="311"/>
      <c r="K64" s="311"/>
      <c r="L64" s="320">
        <f>F64</f>
        <v>539035.66</v>
      </c>
      <c r="M64" s="311"/>
      <c r="N64" s="293"/>
    </row>
    <row r="65" spans="2:16" ht="14.4" thickBot="1" x14ac:dyDescent="0.35">
      <c r="B65" s="307" t="s">
        <v>182</v>
      </c>
      <c r="C65" s="308" t="s">
        <v>534</v>
      </c>
      <c r="D65" s="319" t="s">
        <v>3</v>
      </c>
      <c r="E65" s="1081">
        <v>1</v>
      </c>
      <c r="F65" s="310">
        <f>'16. APP UIIDP'!G237</f>
        <v>901281.57</v>
      </c>
      <c r="G65" s="320"/>
      <c r="H65" s="320"/>
      <c r="I65" s="320"/>
      <c r="J65" s="311"/>
      <c r="K65" s="311"/>
      <c r="L65" s="320">
        <f>F65</f>
        <v>901281.57</v>
      </c>
      <c r="M65" s="311"/>
      <c r="N65" s="293"/>
    </row>
    <row r="66" spans="2:16" ht="14.4" thickBot="1" x14ac:dyDescent="0.35">
      <c r="B66" s="307" t="s">
        <v>531</v>
      </c>
      <c r="C66" s="308" t="s">
        <v>602</v>
      </c>
      <c r="D66" s="319" t="s">
        <v>3</v>
      </c>
      <c r="E66" s="1081">
        <v>1</v>
      </c>
      <c r="F66" s="310">
        <f>'16. APP UIIDP'!G240</f>
        <v>7998959.3799999999</v>
      </c>
      <c r="G66" s="320"/>
      <c r="H66" s="320"/>
      <c r="I66" s="320"/>
      <c r="J66" s="311"/>
      <c r="K66" s="311"/>
      <c r="L66" s="320">
        <f>F66</f>
        <v>7998959.3799999999</v>
      </c>
      <c r="M66" s="311"/>
      <c r="N66" s="293"/>
    </row>
    <row r="67" spans="2:16" ht="14.4" thickBot="1" x14ac:dyDescent="0.35">
      <c r="B67" s="329"/>
      <c r="C67" s="330" t="s">
        <v>542</v>
      </c>
      <c r="D67" s="330"/>
      <c r="E67" s="331">
        <f>E64+E65+E66</f>
        <v>3</v>
      </c>
      <c r="F67" s="331">
        <f t="shared" ref="F67:M67" si="8">F64+F65+F66</f>
        <v>9439276.6099999994</v>
      </c>
      <c r="G67" s="331">
        <f t="shared" si="8"/>
        <v>0</v>
      </c>
      <c r="H67" s="331">
        <f t="shared" si="8"/>
        <v>0</v>
      </c>
      <c r="I67" s="331">
        <f t="shared" si="8"/>
        <v>0</v>
      </c>
      <c r="J67" s="331">
        <f t="shared" si="8"/>
        <v>0</v>
      </c>
      <c r="K67" s="331">
        <f t="shared" si="8"/>
        <v>0</v>
      </c>
      <c r="L67" s="331">
        <f t="shared" si="8"/>
        <v>9439276.6099999994</v>
      </c>
      <c r="M67" s="331">
        <f t="shared" si="8"/>
        <v>0</v>
      </c>
      <c r="N67" s="293"/>
      <c r="P67" s="289"/>
    </row>
    <row r="68" spans="2:16" ht="14.4" thickBot="1" x14ac:dyDescent="0.35">
      <c r="B68" s="329">
        <v>1.4</v>
      </c>
      <c r="C68" s="330" t="s">
        <v>543</v>
      </c>
      <c r="D68" s="330"/>
      <c r="E68" s="331"/>
      <c r="F68" s="331"/>
      <c r="G68" s="331"/>
      <c r="H68" s="331"/>
      <c r="I68" s="331"/>
      <c r="J68" s="330"/>
      <c r="K68" s="330"/>
      <c r="L68" s="330"/>
      <c r="M68" s="330"/>
      <c r="N68" s="293"/>
      <c r="P68" s="289"/>
    </row>
    <row r="69" spans="2:16" ht="14.4" thickBot="1" x14ac:dyDescent="0.35">
      <c r="B69" s="307" t="s">
        <v>184</v>
      </c>
      <c r="C69" s="308" t="s">
        <v>540</v>
      </c>
      <c r="D69" s="319">
        <v>1</v>
      </c>
      <c r="E69" s="320">
        <v>1</v>
      </c>
      <c r="F69" s="320">
        <f>'State projects APP'!H18</f>
        <v>11000000</v>
      </c>
      <c r="G69" s="320"/>
      <c r="H69" s="320"/>
      <c r="I69" s="320"/>
      <c r="J69" s="320">
        <f>F69</f>
        <v>11000000</v>
      </c>
      <c r="K69" s="320">
        <v>0</v>
      </c>
      <c r="L69" s="311"/>
      <c r="M69" s="311"/>
      <c r="N69" s="293"/>
      <c r="P69" s="289"/>
    </row>
    <row r="70" spans="2:16" ht="14.4" thickBot="1" x14ac:dyDescent="0.35">
      <c r="B70" s="329"/>
      <c r="C70" s="330" t="s">
        <v>407</v>
      </c>
      <c r="D70" s="334">
        <f>D69</f>
        <v>1</v>
      </c>
      <c r="E70" s="331">
        <v>1</v>
      </c>
      <c r="F70" s="331">
        <f>F69</f>
        <v>11000000</v>
      </c>
      <c r="G70" s="331"/>
      <c r="H70" s="331"/>
      <c r="I70" s="331"/>
      <c r="J70" s="331">
        <f>J69</f>
        <v>11000000</v>
      </c>
      <c r="K70" s="331">
        <f>K69</f>
        <v>0</v>
      </c>
      <c r="L70" s="330"/>
      <c r="M70" s="330"/>
      <c r="N70" s="293"/>
      <c r="P70" s="289"/>
    </row>
    <row r="71" spans="2:16" ht="14.4" thickBot="1" x14ac:dyDescent="0.35">
      <c r="B71" s="341"/>
      <c r="C71" s="341" t="s">
        <v>317</v>
      </c>
      <c r="D71" s="341"/>
      <c r="E71" s="341"/>
      <c r="F71" s="357">
        <f>F62+F67+F70</f>
        <v>26090216.350000001</v>
      </c>
      <c r="G71" s="357">
        <f t="shared" ref="G71:L71" si="9">G62+G67+G70</f>
        <v>0</v>
      </c>
      <c r="H71" s="357">
        <f t="shared" si="9"/>
        <v>0</v>
      </c>
      <c r="I71" s="357">
        <f t="shared" si="9"/>
        <v>0</v>
      </c>
      <c r="J71" s="357">
        <f t="shared" si="9"/>
        <v>11000000</v>
      </c>
      <c r="K71" s="357">
        <f t="shared" si="9"/>
        <v>0</v>
      </c>
      <c r="L71" s="357">
        <f t="shared" si="9"/>
        <v>15090216.35</v>
      </c>
      <c r="M71" s="357">
        <f>M62+M67+M70</f>
        <v>0</v>
      </c>
      <c r="N71" s="293"/>
      <c r="P71" s="289"/>
    </row>
    <row r="72" spans="2:16" s="693" customFormat="1" ht="14.4" thickBot="1" x14ac:dyDescent="0.35">
      <c r="B72" s="1417"/>
      <c r="C72" s="1420" t="s">
        <v>318</v>
      </c>
      <c r="D72" s="690"/>
      <c r="E72" s="697"/>
      <c r="F72" s="695">
        <f>F52+F71</f>
        <v>120019208.71000001</v>
      </c>
      <c r="G72" s="695">
        <f t="shared" ref="G72:L72" si="10">G52+G71</f>
        <v>51351954.22666242</v>
      </c>
      <c r="H72" s="695">
        <f t="shared" si="10"/>
        <v>21288519.066668794</v>
      </c>
      <c r="I72" s="695">
        <f t="shared" si="10"/>
        <v>21288519.066668794</v>
      </c>
      <c r="J72" s="695">
        <f t="shared" si="10"/>
        <v>11000000</v>
      </c>
      <c r="K72" s="695">
        <f t="shared" si="10"/>
        <v>0</v>
      </c>
      <c r="L72" s="695">
        <f t="shared" si="10"/>
        <v>15090216.35</v>
      </c>
      <c r="M72" s="695">
        <f>M52+M71</f>
        <v>0</v>
      </c>
      <c r="N72" s="692"/>
    </row>
    <row r="73" spans="2:16" ht="16.2" thickBot="1" x14ac:dyDescent="0.35">
      <c r="B73" s="360" t="s">
        <v>2</v>
      </c>
      <c r="C73" s="361" t="s">
        <v>162</v>
      </c>
      <c r="D73" s="362"/>
      <c r="E73" s="363"/>
      <c r="F73" s="363"/>
      <c r="G73" s="364"/>
      <c r="H73" s="364"/>
      <c r="I73" s="364"/>
      <c r="J73" s="365"/>
      <c r="K73" s="365"/>
      <c r="L73" s="365"/>
      <c r="M73" s="365"/>
      <c r="N73" s="293"/>
      <c r="P73" s="289"/>
    </row>
    <row r="74" spans="2:16" ht="15.6" x14ac:dyDescent="0.3">
      <c r="B74" s="1083"/>
      <c r="C74" s="1084" t="s">
        <v>319</v>
      </c>
      <c r="D74" s="1085"/>
      <c r="E74" s="1086"/>
      <c r="F74" s="1086"/>
      <c r="G74" s="1087"/>
      <c r="H74" s="1087"/>
      <c r="I74" s="1087"/>
      <c r="J74" s="1088"/>
      <c r="K74" s="1088"/>
      <c r="L74" s="1088"/>
      <c r="M74" s="1088"/>
      <c r="N74" s="293"/>
      <c r="P74" s="289"/>
    </row>
    <row r="75" spans="2:16" s="1089" customFormat="1" ht="15.6" x14ac:dyDescent="0.3">
      <c r="B75" s="689"/>
      <c r="C75" s="1090"/>
      <c r="D75" s="1091"/>
      <c r="E75" s="1092"/>
      <c r="F75" s="1092"/>
      <c r="G75" s="1093"/>
      <c r="H75" s="1093"/>
      <c r="I75" s="1093"/>
      <c r="J75" s="1094"/>
      <c r="K75" s="1094"/>
      <c r="L75" s="1094"/>
      <c r="M75" s="1094"/>
      <c r="N75" s="1095"/>
    </row>
    <row r="76" spans="2:16" ht="15.6" x14ac:dyDescent="0.3">
      <c r="B76" s="1083"/>
      <c r="C76" s="1084" t="s">
        <v>701</v>
      </c>
      <c r="D76" s="1085"/>
      <c r="E76" s="1086">
        <v>0</v>
      </c>
      <c r="F76" s="1086">
        <f>F75</f>
        <v>0</v>
      </c>
      <c r="G76" s="1086">
        <f t="shared" ref="G76:M76" si="11">G75</f>
        <v>0</v>
      </c>
      <c r="H76" s="1086">
        <f t="shared" si="11"/>
        <v>0</v>
      </c>
      <c r="I76" s="1086">
        <f t="shared" si="11"/>
        <v>0</v>
      </c>
      <c r="J76" s="1086">
        <f t="shared" si="11"/>
        <v>0</v>
      </c>
      <c r="K76" s="1086">
        <f t="shared" si="11"/>
        <v>0</v>
      </c>
      <c r="L76" s="1086">
        <f t="shared" si="11"/>
        <v>0</v>
      </c>
      <c r="M76" s="1086">
        <f t="shared" si="11"/>
        <v>0</v>
      </c>
      <c r="N76" s="293"/>
      <c r="P76" s="289"/>
    </row>
    <row r="77" spans="2:16" ht="15.6" x14ac:dyDescent="0.3">
      <c r="B77" s="1083"/>
      <c r="C77" s="1084" t="s">
        <v>700</v>
      </c>
      <c r="D77" s="1085"/>
      <c r="E77" s="1086"/>
      <c r="F77" s="1086"/>
      <c r="G77" s="1087"/>
      <c r="H77" s="1087"/>
      <c r="I77" s="1087"/>
      <c r="J77" s="1088"/>
      <c r="K77" s="1088"/>
      <c r="L77" s="1088"/>
      <c r="M77" s="1088"/>
      <c r="N77" s="293"/>
      <c r="P77" s="289"/>
    </row>
    <row r="78" spans="2:16" s="1089" customFormat="1" ht="15.6" x14ac:dyDescent="0.3">
      <c r="B78" s="689" t="s">
        <v>185</v>
      </c>
      <c r="C78" s="1090" t="s">
        <v>1053</v>
      </c>
      <c r="D78" s="1091" t="s">
        <v>3</v>
      </c>
      <c r="E78" s="1092">
        <v>1</v>
      </c>
      <c r="F78" s="1092">
        <v>5000000</v>
      </c>
      <c r="G78" s="1093"/>
      <c r="H78" s="1093"/>
      <c r="I78" s="1093"/>
      <c r="J78" s="1094"/>
      <c r="K78" s="1094"/>
      <c r="L78" s="1093">
        <f>F78</f>
        <v>5000000</v>
      </c>
      <c r="M78" s="1094"/>
      <c r="N78" s="1095"/>
    </row>
    <row r="79" spans="2:16" ht="16.2" thickBot="1" x14ac:dyDescent="0.35">
      <c r="B79" s="367"/>
      <c r="C79" s="1084" t="s">
        <v>783</v>
      </c>
      <c r="D79" s="367"/>
      <c r="E79" s="368">
        <f>E78</f>
        <v>1</v>
      </c>
      <c r="F79" s="368">
        <f t="shared" ref="F79:L79" si="12">F78</f>
        <v>5000000</v>
      </c>
      <c r="G79" s="368"/>
      <c r="H79" s="368"/>
      <c r="I79" s="368"/>
      <c r="J79" s="368">
        <f t="shared" si="12"/>
        <v>0</v>
      </c>
      <c r="K79" s="368">
        <f t="shared" si="12"/>
        <v>0</v>
      </c>
      <c r="L79" s="368">
        <f t="shared" si="12"/>
        <v>5000000</v>
      </c>
      <c r="M79" s="367"/>
      <c r="N79" s="293"/>
      <c r="P79" s="289"/>
    </row>
    <row r="80" spans="2:16" ht="15.6" x14ac:dyDescent="0.3">
      <c r="B80" s="369"/>
      <c r="C80" s="369" t="s">
        <v>320</v>
      </c>
      <c r="D80" s="369"/>
      <c r="E80" s="369">
        <f>E79+E76</f>
        <v>1</v>
      </c>
      <c r="F80" s="369">
        <f t="shared" ref="F80:L80" si="13">F79+F76</f>
        <v>5000000</v>
      </c>
      <c r="G80" s="369">
        <f t="shared" si="13"/>
        <v>0</v>
      </c>
      <c r="H80" s="369">
        <f t="shared" si="13"/>
        <v>0</v>
      </c>
      <c r="I80" s="369">
        <f t="shared" si="13"/>
        <v>0</v>
      </c>
      <c r="J80" s="369">
        <f t="shared" si="13"/>
        <v>0</v>
      </c>
      <c r="K80" s="369">
        <f t="shared" si="13"/>
        <v>0</v>
      </c>
      <c r="L80" s="369">
        <f t="shared" si="13"/>
        <v>5000000</v>
      </c>
      <c r="M80" s="369">
        <f>M79+M76</f>
        <v>0</v>
      </c>
      <c r="N80" s="293"/>
      <c r="P80" s="289"/>
    </row>
    <row r="81" spans="2:16" ht="15.6" x14ac:dyDescent="0.3">
      <c r="B81" s="698" t="s">
        <v>165</v>
      </c>
      <c r="C81" s="698" t="s">
        <v>143</v>
      </c>
      <c r="D81" s="698"/>
      <c r="E81" s="698"/>
      <c r="F81" s="698"/>
      <c r="G81" s="698"/>
      <c r="H81" s="698"/>
      <c r="I81" s="698"/>
      <c r="J81" s="698"/>
      <c r="K81" s="698"/>
      <c r="L81" s="698"/>
      <c r="M81" s="698"/>
      <c r="N81" s="293"/>
      <c r="P81" s="289"/>
    </row>
    <row r="82" spans="2:16" ht="15.6" x14ac:dyDescent="0.3">
      <c r="B82" s="699"/>
      <c r="C82" s="699" t="s">
        <v>546</v>
      </c>
      <c r="D82" s="699"/>
      <c r="E82" s="699"/>
      <c r="F82" s="699"/>
      <c r="G82" s="699"/>
      <c r="H82" s="699"/>
      <c r="I82" s="699"/>
      <c r="J82" s="699"/>
      <c r="K82" s="699"/>
      <c r="L82" s="699"/>
      <c r="M82" s="699"/>
      <c r="N82" s="293"/>
      <c r="P82" s="289"/>
    </row>
    <row r="83" spans="2:16" ht="15.6" x14ac:dyDescent="0.3">
      <c r="B83" s="700"/>
      <c r="C83" s="700" t="s">
        <v>514</v>
      </c>
      <c r="D83" s="700"/>
      <c r="E83" s="700"/>
      <c r="F83" s="700"/>
      <c r="G83" s="700"/>
      <c r="H83" s="700"/>
      <c r="I83" s="700"/>
      <c r="J83" s="700"/>
      <c r="K83" s="700"/>
      <c r="L83" s="700"/>
      <c r="M83" s="700"/>
      <c r="N83" s="293"/>
      <c r="P83" s="289"/>
    </row>
    <row r="84" spans="2:16" ht="29.4" thickBot="1" x14ac:dyDescent="0.35">
      <c r="B84" s="701">
        <v>1.1000000000000001</v>
      </c>
      <c r="C84" s="1408" t="s">
        <v>749</v>
      </c>
      <c r="D84" s="703" t="s">
        <v>517</v>
      </c>
      <c r="E84" s="702">
        <v>8</v>
      </c>
      <c r="F84" s="702">
        <f>'16. APP UIIDP'!H163</f>
        <v>3422811.69</v>
      </c>
      <c r="G84" s="702">
        <f>F84/1.82912206116649</f>
        <v>1871286.647659349</v>
      </c>
      <c r="H84" s="702">
        <f>G84*0.414561030583245</f>
        <v>775762.52117032546</v>
      </c>
      <c r="I84" s="702">
        <f>H84</f>
        <v>775762.52117032546</v>
      </c>
      <c r="J84" s="702"/>
      <c r="K84" s="702"/>
      <c r="L84" s="702"/>
      <c r="M84" s="702"/>
      <c r="N84" s="293"/>
    </row>
    <row r="85" spans="2:16" ht="15.6" x14ac:dyDescent="0.3">
      <c r="B85" s="369"/>
      <c r="C85" s="369" t="s">
        <v>547</v>
      </c>
      <c r="D85" s="369"/>
      <c r="E85" s="369">
        <f>E84</f>
        <v>8</v>
      </c>
      <c r="F85" s="369">
        <f>F84</f>
        <v>3422811.69</v>
      </c>
      <c r="G85" s="369">
        <f>G84</f>
        <v>1871286.647659349</v>
      </c>
      <c r="H85" s="369">
        <f>H84</f>
        <v>775762.52117032546</v>
      </c>
      <c r="I85" s="369">
        <f>I84</f>
        <v>775762.52117032546</v>
      </c>
      <c r="J85" s="369"/>
      <c r="K85" s="369"/>
      <c r="L85" s="369"/>
      <c r="M85" s="369"/>
      <c r="N85" s="293"/>
    </row>
    <row r="86" spans="2:16" ht="15.6" x14ac:dyDescent="0.3">
      <c r="B86" s="699"/>
      <c r="C86" s="699" t="s">
        <v>790</v>
      </c>
      <c r="D86" s="699"/>
      <c r="E86" s="699"/>
      <c r="F86" s="699"/>
      <c r="G86" s="1426">
        <f>F86/1.83924420604159</f>
        <v>0</v>
      </c>
      <c r="H86" s="1426">
        <f>G86*0.419622103020793</f>
        <v>0</v>
      </c>
      <c r="I86" s="1426">
        <f>H86</f>
        <v>0</v>
      </c>
      <c r="J86" s="699"/>
      <c r="K86" s="699"/>
      <c r="L86" s="699"/>
      <c r="M86" s="699"/>
      <c r="N86" s="293"/>
    </row>
    <row r="87" spans="2:16" s="693" customFormat="1" ht="27" thickBot="1" x14ac:dyDescent="0.35">
      <c r="B87" s="700"/>
      <c r="C87" s="1422" t="s">
        <v>751</v>
      </c>
      <c r="D87" s="703" t="s">
        <v>517</v>
      </c>
      <c r="E87" s="700">
        <v>3.45</v>
      </c>
      <c r="F87" s="700">
        <f>'16. APP UIIDP'!H173</f>
        <v>1000000</v>
      </c>
      <c r="G87" s="702">
        <f>F87/1.82912206116649</f>
        <v>546710.37063664733</v>
      </c>
      <c r="H87" s="702">
        <f>G87*0.414561030583245</f>
        <v>226644.81468167636</v>
      </c>
      <c r="I87" s="702">
        <f>H87</f>
        <v>226644.81468167636</v>
      </c>
      <c r="J87" s="700"/>
      <c r="K87" s="700"/>
      <c r="L87" s="700"/>
      <c r="M87" s="700"/>
      <c r="N87" s="692"/>
      <c r="P87" s="920"/>
    </row>
    <row r="88" spans="2:16" ht="15.6" x14ac:dyDescent="0.3">
      <c r="B88" s="369"/>
      <c r="C88" s="369" t="s">
        <v>791</v>
      </c>
      <c r="D88" s="369"/>
      <c r="E88" s="369">
        <f>E87</f>
        <v>3.45</v>
      </c>
      <c r="F88" s="369">
        <f t="shared" ref="F88:M88" si="14">F87</f>
        <v>1000000</v>
      </c>
      <c r="G88" s="369">
        <f t="shared" si="14"/>
        <v>546710.37063664733</v>
      </c>
      <c r="H88" s="369">
        <f t="shared" si="14"/>
        <v>226644.81468167636</v>
      </c>
      <c r="I88" s="369">
        <f t="shared" si="14"/>
        <v>226644.81468167636</v>
      </c>
      <c r="J88" s="369">
        <f t="shared" si="14"/>
        <v>0</v>
      </c>
      <c r="K88" s="369">
        <f t="shared" si="14"/>
        <v>0</v>
      </c>
      <c r="L88" s="369">
        <f t="shared" si="14"/>
        <v>0</v>
      </c>
      <c r="M88" s="369">
        <f t="shared" si="14"/>
        <v>0</v>
      </c>
      <c r="N88" s="293"/>
    </row>
    <row r="89" spans="2:16" s="1353" customFormat="1" ht="15.6" x14ac:dyDescent="0.3">
      <c r="B89" s="370"/>
      <c r="C89" s="370" t="s">
        <v>329</v>
      </c>
      <c r="D89" s="370"/>
      <c r="E89" s="370"/>
      <c r="F89" s="370">
        <f>F80+F72+F85+F88</f>
        <v>129442020.40000001</v>
      </c>
      <c r="G89" s="370">
        <f t="shared" ref="G89:M89" si="15">G80+G72+G85+G88</f>
        <v>53769951.244958416</v>
      </c>
      <c r="H89" s="370">
        <f t="shared" si="15"/>
        <v>22290926.402520794</v>
      </c>
      <c r="I89" s="370">
        <f t="shared" si="15"/>
        <v>22290926.402520794</v>
      </c>
      <c r="J89" s="370">
        <f t="shared" si="15"/>
        <v>11000000</v>
      </c>
      <c r="K89" s="370">
        <f t="shared" si="15"/>
        <v>0</v>
      </c>
      <c r="L89" s="370">
        <f t="shared" si="15"/>
        <v>20090216.350000001</v>
      </c>
      <c r="M89" s="370">
        <f t="shared" si="15"/>
        <v>0</v>
      </c>
      <c r="N89" s="1358"/>
      <c r="P89" s="1421"/>
    </row>
    <row r="90" spans="2:16" ht="15.6" x14ac:dyDescent="0.3">
      <c r="B90" s="371"/>
      <c r="C90" s="2056" t="s">
        <v>330</v>
      </c>
      <c r="D90" s="2057"/>
      <c r="E90" s="2057"/>
      <c r="F90" s="2057"/>
      <c r="G90" s="372"/>
      <c r="H90" s="372"/>
      <c r="I90" s="372"/>
      <c r="J90" s="372"/>
      <c r="K90" s="372"/>
      <c r="L90" s="372"/>
      <c r="M90" s="372"/>
      <c r="N90" s="293"/>
    </row>
    <row r="91" spans="2:16" x14ac:dyDescent="0.3">
      <c r="B91" s="373" t="s">
        <v>161</v>
      </c>
      <c r="C91" s="335" t="s">
        <v>321</v>
      </c>
      <c r="D91" s="374"/>
      <c r="E91" s="375"/>
      <c r="F91" s="375"/>
      <c r="G91" s="376"/>
      <c r="H91" s="376"/>
      <c r="I91" s="376"/>
      <c r="J91" s="377"/>
      <c r="K91" s="377"/>
      <c r="L91" s="377"/>
      <c r="M91" s="377"/>
      <c r="N91" s="293"/>
    </row>
    <row r="92" spans="2:16" ht="14.4" thickBot="1" x14ac:dyDescent="0.35">
      <c r="B92" s="378">
        <v>1.2</v>
      </c>
      <c r="C92" s="379" t="s">
        <v>280</v>
      </c>
      <c r="D92" s="380"/>
      <c r="E92" s="381"/>
      <c r="F92" s="381"/>
      <c r="G92" s="382"/>
      <c r="H92" s="382"/>
      <c r="I92" s="382"/>
      <c r="J92" s="383"/>
      <c r="K92" s="383"/>
      <c r="L92" s="383"/>
      <c r="M92" s="383"/>
      <c r="N92" s="293"/>
    </row>
    <row r="93" spans="2:16" ht="29.4" thickBot="1" x14ac:dyDescent="0.35">
      <c r="B93" s="307" t="s">
        <v>178</v>
      </c>
      <c r="C93" s="1409" t="s">
        <v>733</v>
      </c>
      <c r="D93" s="319" t="s">
        <v>239</v>
      </c>
      <c r="E93" s="310">
        <f>'16. APP UIIDP'!D106</f>
        <v>412</v>
      </c>
      <c r="F93" s="384">
        <f>'16. APP UIIDP'!H106</f>
        <v>1544014.58</v>
      </c>
      <c r="G93" s="320">
        <f>F93/1.82912206116649</f>
        <v>844128.78330018732</v>
      </c>
      <c r="H93" s="320">
        <f>G93*0.414561030583245</f>
        <v>349942.89834990638</v>
      </c>
      <c r="I93" s="320">
        <f>H93</f>
        <v>349942.89834990638</v>
      </c>
      <c r="J93" s="311"/>
      <c r="K93" s="311"/>
      <c r="L93" s="311"/>
      <c r="M93" s="311"/>
      <c r="N93" s="293"/>
    </row>
    <row r="94" spans="2:16" ht="15" thickBot="1" x14ac:dyDescent="0.35">
      <c r="B94" s="307" t="s">
        <v>179</v>
      </c>
      <c r="C94" s="1410" t="s">
        <v>734</v>
      </c>
      <c r="D94" s="319" t="s">
        <v>239</v>
      </c>
      <c r="E94" s="310">
        <f>'16. APP UIIDP'!D109</f>
        <v>280</v>
      </c>
      <c r="F94" s="384">
        <f>'16. APP UIIDP'!H109</f>
        <v>1030416.91</v>
      </c>
      <c r="G94" s="320">
        <f t="shared" ref="G94:G104" si="16">F94/1.82912206116649</f>
        <v>563339.61077636888</v>
      </c>
      <c r="H94" s="320">
        <f t="shared" ref="H94:H104" si="17">G94*0.414561030583245</f>
        <v>233538.64961181561</v>
      </c>
      <c r="I94" s="320">
        <f t="shared" ref="I94:I103" si="18">H94</f>
        <v>233538.64961181561</v>
      </c>
      <c r="J94" s="311"/>
      <c r="K94" s="311"/>
      <c r="L94" s="311"/>
      <c r="M94" s="311"/>
      <c r="N94" s="293"/>
    </row>
    <row r="95" spans="2:16" ht="15" thickBot="1" x14ac:dyDescent="0.35">
      <c r="B95" s="307" t="s">
        <v>281</v>
      </c>
      <c r="C95" s="1410" t="s">
        <v>735</v>
      </c>
      <c r="D95" s="319" t="s">
        <v>239</v>
      </c>
      <c r="E95" s="310">
        <f>'16. APP UIIDP'!D112</f>
        <v>134</v>
      </c>
      <c r="F95" s="384">
        <f>'16. APP UIIDP'!H112</f>
        <v>576882.81999999995</v>
      </c>
      <c r="G95" s="320">
        <f t="shared" si="16"/>
        <v>315387.82033611427</v>
      </c>
      <c r="H95" s="320">
        <f t="shared" si="17"/>
        <v>130747.49983194284</v>
      </c>
      <c r="I95" s="320">
        <f t="shared" si="18"/>
        <v>130747.49983194284</v>
      </c>
      <c r="J95" s="311"/>
      <c r="K95" s="311"/>
      <c r="L95" s="311"/>
      <c r="M95" s="311"/>
      <c r="N95" s="293"/>
    </row>
    <row r="96" spans="2:16" ht="15" thickBot="1" x14ac:dyDescent="0.35">
      <c r="B96" s="307" t="s">
        <v>596</v>
      </c>
      <c r="C96" s="1410" t="s">
        <v>736</v>
      </c>
      <c r="D96" s="319" t="s">
        <v>239</v>
      </c>
      <c r="E96" s="310">
        <f>'16. APP UIIDP'!D115</f>
        <v>170</v>
      </c>
      <c r="F96" s="384">
        <f>'16. APP UIIDP'!H115</f>
        <v>688277.63</v>
      </c>
      <c r="G96" s="320">
        <f t="shared" si="16"/>
        <v>376288.51819821319</v>
      </c>
      <c r="H96" s="320">
        <f t="shared" si="17"/>
        <v>155994.55590089341</v>
      </c>
      <c r="I96" s="320">
        <f t="shared" si="18"/>
        <v>155994.55590089341</v>
      </c>
      <c r="J96" s="311"/>
      <c r="K96" s="311"/>
      <c r="L96" s="311"/>
      <c r="M96" s="311"/>
      <c r="N96" s="293"/>
    </row>
    <row r="97" spans="2:16" ht="15" thickBot="1" x14ac:dyDescent="0.35">
      <c r="B97" s="307" t="s">
        <v>767</v>
      </c>
      <c r="C97" s="1410" t="s">
        <v>737</v>
      </c>
      <c r="D97" s="319" t="s">
        <v>239</v>
      </c>
      <c r="E97" s="310">
        <f>'16. APP UIIDP'!D118</f>
        <v>310</v>
      </c>
      <c r="F97" s="384">
        <f>'16. APP UIIDP'!H118</f>
        <v>1119713.45</v>
      </c>
      <c r="G97" s="320">
        <f t="shared" si="16"/>
        <v>612158.95525633905</v>
      </c>
      <c r="H97" s="320">
        <f t="shared" si="17"/>
        <v>253777.24737183048</v>
      </c>
      <c r="I97" s="320">
        <f t="shared" si="18"/>
        <v>253777.24737183048</v>
      </c>
      <c r="J97" s="311"/>
      <c r="K97" s="311"/>
      <c r="L97" s="311"/>
      <c r="M97" s="311"/>
      <c r="N97" s="293"/>
    </row>
    <row r="98" spans="2:16" ht="29.4" thickBot="1" x14ac:dyDescent="0.35">
      <c r="B98" s="307" t="s">
        <v>768</v>
      </c>
      <c r="C98" s="1410" t="s">
        <v>738</v>
      </c>
      <c r="D98" s="319" t="s">
        <v>239</v>
      </c>
      <c r="E98" s="310">
        <f>'16. APP UIIDP'!D121</f>
        <v>350</v>
      </c>
      <c r="F98" s="384">
        <f>'16. APP UIIDP'!H121</f>
        <v>1243485.46</v>
      </c>
      <c r="G98" s="320">
        <f t="shared" si="16"/>
        <v>679826.39671788178</v>
      </c>
      <c r="H98" s="320">
        <f t="shared" si="17"/>
        <v>281829.53164105903</v>
      </c>
      <c r="I98" s="320">
        <f t="shared" si="18"/>
        <v>281829.53164105903</v>
      </c>
      <c r="J98" s="311"/>
      <c r="K98" s="311"/>
      <c r="L98" s="311"/>
      <c r="M98" s="311"/>
      <c r="N98" s="293"/>
    </row>
    <row r="99" spans="2:16" ht="15" thickBot="1" x14ac:dyDescent="0.35">
      <c r="B99" s="307" t="s">
        <v>769</v>
      </c>
      <c r="C99" s="1410" t="s">
        <v>739</v>
      </c>
      <c r="D99" s="319" t="s">
        <v>239</v>
      </c>
      <c r="E99" s="310">
        <f>'16. APP UIIDP'!D124</f>
        <v>130</v>
      </c>
      <c r="F99" s="384">
        <f>'16. APP UIIDP'!H124</f>
        <v>566271.85</v>
      </c>
      <c r="G99" s="320">
        <f t="shared" si="16"/>
        <v>309586.69299459993</v>
      </c>
      <c r="H99" s="320">
        <f t="shared" si="17"/>
        <v>128342.57850270002</v>
      </c>
      <c r="I99" s="320">
        <f t="shared" si="18"/>
        <v>128342.57850270002</v>
      </c>
      <c r="J99" s="311"/>
      <c r="K99" s="311"/>
      <c r="L99" s="311"/>
      <c r="M99" s="311"/>
      <c r="N99" s="293"/>
    </row>
    <row r="100" spans="2:16" ht="15" thickBot="1" x14ac:dyDescent="0.35">
      <c r="B100" s="307" t="s">
        <v>770</v>
      </c>
      <c r="C100" s="1410" t="s">
        <v>740</v>
      </c>
      <c r="D100" s="319" t="s">
        <v>239</v>
      </c>
      <c r="E100" s="310">
        <f>'16. APP UIIDP'!D127</f>
        <v>220</v>
      </c>
      <c r="F100" s="384">
        <f>'16. APP UIIDP'!H127</f>
        <v>842992.65</v>
      </c>
      <c r="G100" s="320">
        <f t="shared" si="16"/>
        <v>460872.82412546949</v>
      </c>
      <c r="H100" s="320">
        <f t="shared" si="17"/>
        <v>191059.91293726524</v>
      </c>
      <c r="I100" s="320">
        <f t="shared" si="18"/>
        <v>191059.91293726524</v>
      </c>
      <c r="J100" s="311"/>
      <c r="K100" s="311"/>
      <c r="L100" s="311"/>
      <c r="M100" s="311"/>
      <c r="N100" s="293"/>
    </row>
    <row r="101" spans="2:16" ht="15" thickBot="1" x14ac:dyDescent="0.35">
      <c r="B101" s="307" t="s">
        <v>771</v>
      </c>
      <c r="C101" s="1410" t="s">
        <v>741</v>
      </c>
      <c r="D101" s="319" t="s">
        <v>239</v>
      </c>
      <c r="E101" s="310">
        <f>'16. APP UIIDP'!D130</f>
        <v>220</v>
      </c>
      <c r="F101" s="384">
        <f>'16. APP UIIDP'!H130</f>
        <v>842992.65</v>
      </c>
      <c r="G101" s="320">
        <f t="shared" si="16"/>
        <v>460872.82412546949</v>
      </c>
      <c r="H101" s="320">
        <f t="shared" si="17"/>
        <v>191059.91293726524</v>
      </c>
      <c r="I101" s="320">
        <f t="shared" si="18"/>
        <v>191059.91293726524</v>
      </c>
      <c r="J101" s="311"/>
      <c r="K101" s="311"/>
      <c r="L101" s="311"/>
      <c r="M101" s="311"/>
      <c r="N101" s="293"/>
    </row>
    <row r="102" spans="2:16" ht="29.4" thickBot="1" x14ac:dyDescent="0.35">
      <c r="B102" s="307" t="s">
        <v>772</v>
      </c>
      <c r="C102" s="1410" t="s">
        <v>742</v>
      </c>
      <c r="D102" s="319" t="s">
        <v>239</v>
      </c>
      <c r="E102" s="310">
        <f>'16. APP UIIDP'!D133</f>
        <v>480</v>
      </c>
      <c r="F102" s="384">
        <f>'16. APP UIIDP'!H133</f>
        <v>1910208.79</v>
      </c>
      <c r="G102" s="320">
        <f t="shared" si="16"/>
        <v>1044330.9555742816</v>
      </c>
      <c r="H102" s="320">
        <f t="shared" si="17"/>
        <v>432938.91721285926</v>
      </c>
      <c r="I102" s="320">
        <f t="shared" si="18"/>
        <v>432938.91721285926</v>
      </c>
      <c r="J102" s="311"/>
      <c r="K102" s="311"/>
      <c r="L102" s="311"/>
      <c r="M102" s="311"/>
      <c r="N102" s="293"/>
    </row>
    <row r="103" spans="2:16" ht="15" thickBot="1" x14ac:dyDescent="0.35">
      <c r="B103" s="307" t="s">
        <v>773</v>
      </c>
      <c r="C103" s="1411" t="s">
        <v>820</v>
      </c>
      <c r="D103" s="319" t="s">
        <v>574</v>
      </c>
      <c r="E103" s="310">
        <f>'16. APP UIIDP'!D136</f>
        <v>305</v>
      </c>
      <c r="F103" s="384">
        <f>'16. APP UIIDP'!G136</f>
        <v>2319860.77</v>
      </c>
      <c r="G103" s="320">
        <f t="shared" si="16"/>
        <v>1268291.9413921181</v>
      </c>
      <c r="H103" s="320">
        <f t="shared" si="17"/>
        <v>525784.41430394107</v>
      </c>
      <c r="I103" s="320">
        <f t="shared" si="18"/>
        <v>525784.41430394107</v>
      </c>
      <c r="J103" s="311"/>
      <c r="K103" s="311"/>
      <c r="L103" s="311"/>
      <c r="M103" s="311"/>
      <c r="N103" s="293"/>
    </row>
    <row r="104" spans="2:16" ht="15" thickBot="1" x14ac:dyDescent="0.35">
      <c r="B104" s="307" t="s">
        <v>877</v>
      </c>
      <c r="C104" s="1411" t="s">
        <v>743</v>
      </c>
      <c r="D104" s="319" t="s">
        <v>239</v>
      </c>
      <c r="E104" s="310">
        <f>'16. APP UIIDP'!D139</f>
        <v>300</v>
      </c>
      <c r="F104" s="384">
        <f>'16. APP UIIDP'!H139</f>
        <v>1240478.3700000001</v>
      </c>
      <c r="G104" s="320">
        <f t="shared" si="16"/>
        <v>678182.38942944421</v>
      </c>
      <c r="H104" s="320">
        <f t="shared" si="17"/>
        <v>281147.99028527801</v>
      </c>
      <c r="I104" s="320">
        <f>H104</f>
        <v>281147.99028527801</v>
      </c>
      <c r="J104" s="311"/>
      <c r="K104" s="311"/>
      <c r="L104" s="311"/>
      <c r="M104" s="311"/>
      <c r="N104" s="293"/>
    </row>
    <row r="105" spans="2:16" s="318" customFormat="1" ht="14.4" thickBot="1" x14ac:dyDescent="0.35">
      <c r="B105" s="385"/>
      <c r="C105" s="379" t="s">
        <v>140</v>
      </c>
      <c r="D105" s="380"/>
      <c r="E105" s="381">
        <f t="shared" ref="E105:J105" si="19">SUM(E93:E104)</f>
        <v>3311</v>
      </c>
      <c r="F105" s="381">
        <f t="shared" si="19"/>
        <v>13925595.93</v>
      </c>
      <c r="G105" s="381">
        <f t="shared" si="19"/>
        <v>7613267.7122264877</v>
      </c>
      <c r="H105" s="381">
        <f t="shared" si="19"/>
        <v>3156164.1088867565</v>
      </c>
      <c r="I105" s="381">
        <f t="shared" si="19"/>
        <v>3156164.1088867565</v>
      </c>
      <c r="J105" s="381">
        <f t="shared" si="19"/>
        <v>0</v>
      </c>
      <c r="K105" s="381"/>
      <c r="L105" s="381">
        <f>SUM(L93:L104)</f>
        <v>0</v>
      </c>
      <c r="M105" s="381">
        <f>SUM(M93:M104)</f>
        <v>0</v>
      </c>
      <c r="N105" s="317"/>
      <c r="P105" s="420"/>
    </row>
    <row r="106" spans="2:16" s="1570" customFormat="1" ht="14.4" thickBot="1" x14ac:dyDescent="0.35">
      <c r="B106" s="360">
        <v>1.3</v>
      </c>
      <c r="C106" s="360" t="s">
        <v>219</v>
      </c>
      <c r="D106" s="362"/>
      <c r="E106" s="363"/>
      <c r="F106" s="363"/>
      <c r="G106" s="363"/>
      <c r="H106" s="363"/>
      <c r="I106" s="363"/>
      <c r="J106" s="363"/>
      <c r="K106" s="363"/>
      <c r="L106" s="363"/>
      <c r="M106" s="363"/>
      <c r="N106" s="1989"/>
      <c r="P106" s="1571"/>
    </row>
    <row r="107" spans="2:16" s="1570" customFormat="1" ht="14.4" thickBot="1" x14ac:dyDescent="0.35">
      <c r="B107" s="689" t="s">
        <v>181</v>
      </c>
      <c r="C107" s="308" t="s">
        <v>406</v>
      </c>
      <c r="D107" s="319" t="s">
        <v>3</v>
      </c>
      <c r="E107" s="691">
        <v>1</v>
      </c>
      <c r="F107" s="691">
        <v>4018603.09</v>
      </c>
      <c r="G107" s="691">
        <f>F107/1.82912206116649</f>
        <v>2197011.9847754762</v>
      </c>
      <c r="H107" s="691">
        <f>G107*0.414561030583245</f>
        <v>910795.55261226196</v>
      </c>
      <c r="I107" s="691">
        <f>H107</f>
        <v>910795.55261226196</v>
      </c>
      <c r="J107" s="691"/>
      <c r="K107" s="691"/>
      <c r="L107" s="691"/>
      <c r="M107" s="691"/>
      <c r="N107" s="1989"/>
      <c r="P107" s="1571"/>
    </row>
    <row r="108" spans="2:16" s="1570" customFormat="1" ht="14.4" thickBot="1" x14ac:dyDescent="0.35">
      <c r="B108" s="385"/>
      <c r="C108" s="385" t="s">
        <v>1049</v>
      </c>
      <c r="D108" s="380"/>
      <c r="E108" s="381"/>
      <c r="F108" s="381">
        <f>F107</f>
        <v>4018603.09</v>
      </c>
      <c r="G108" s="381">
        <f t="shared" ref="G108:I108" si="20">G107</f>
        <v>2197011.9847754762</v>
      </c>
      <c r="H108" s="381">
        <f t="shared" si="20"/>
        <v>910795.55261226196</v>
      </c>
      <c r="I108" s="381">
        <f t="shared" si="20"/>
        <v>910795.55261226196</v>
      </c>
      <c r="J108" s="381"/>
      <c r="K108" s="381"/>
      <c r="L108" s="381"/>
      <c r="M108" s="381"/>
      <c r="N108" s="1989"/>
      <c r="P108" s="1571"/>
    </row>
    <row r="109" spans="2:16" s="1570" customFormat="1" ht="14.4" thickBot="1" x14ac:dyDescent="0.35">
      <c r="B109" s="360">
        <v>1.4</v>
      </c>
      <c r="C109" s="360" t="s">
        <v>1050</v>
      </c>
      <c r="D109" s="362"/>
      <c r="E109" s="363"/>
      <c r="F109" s="363"/>
      <c r="G109" s="363"/>
      <c r="H109" s="363"/>
      <c r="I109" s="363"/>
      <c r="J109" s="363"/>
      <c r="K109" s="363"/>
      <c r="L109" s="363"/>
      <c r="M109" s="363"/>
      <c r="N109" s="1989"/>
      <c r="P109" s="1571"/>
    </row>
    <row r="110" spans="2:16" s="1570" customFormat="1" ht="14.4" thickBot="1" x14ac:dyDescent="0.35">
      <c r="B110" s="689" t="s">
        <v>184</v>
      </c>
      <c r="C110" s="1990" t="s">
        <v>1052</v>
      </c>
      <c r="D110" s="319" t="s">
        <v>3</v>
      </c>
      <c r="E110" s="691">
        <v>2</v>
      </c>
      <c r="F110" s="691">
        <f>2*5514769.46</f>
        <v>11029538.92</v>
      </c>
      <c r="G110" s="691">
        <f>F110/1.82912206116649</f>
        <v>6029963.3109045262</v>
      </c>
      <c r="H110" s="691">
        <f>G110*0.414561030583245</f>
        <v>2499787.8045477364</v>
      </c>
      <c r="I110" s="691">
        <f>H110</f>
        <v>2499787.8045477364</v>
      </c>
      <c r="J110" s="691"/>
      <c r="K110" s="691"/>
      <c r="L110" s="691"/>
      <c r="M110" s="691"/>
      <c r="N110" s="1989"/>
      <c r="P110" s="1571"/>
    </row>
    <row r="111" spans="2:16" s="1570" customFormat="1" ht="14.4" thickBot="1" x14ac:dyDescent="0.35">
      <c r="B111" s="385"/>
      <c r="C111" s="385" t="s">
        <v>1051</v>
      </c>
      <c r="D111" s="380"/>
      <c r="E111" s="381"/>
      <c r="F111" s="381">
        <f>F110</f>
        <v>11029538.92</v>
      </c>
      <c r="G111" s="381">
        <f t="shared" ref="G111:I111" si="21">G110</f>
        <v>6029963.3109045262</v>
      </c>
      <c r="H111" s="381">
        <f t="shared" si="21"/>
        <v>2499787.8045477364</v>
      </c>
      <c r="I111" s="381">
        <f t="shared" si="21"/>
        <v>2499787.8045477364</v>
      </c>
      <c r="J111" s="381"/>
      <c r="K111" s="381"/>
      <c r="L111" s="381"/>
      <c r="M111" s="381"/>
      <c r="N111" s="1989"/>
      <c r="P111" s="1571"/>
    </row>
    <row r="112" spans="2:16" ht="14.4" thickBot="1" x14ac:dyDescent="0.35">
      <c r="B112" s="388">
        <v>5</v>
      </c>
      <c r="C112" s="345" t="s">
        <v>325</v>
      </c>
      <c r="D112" s="345"/>
      <c r="E112" s="346"/>
      <c r="F112" s="346"/>
      <c r="G112" s="346"/>
      <c r="H112" s="346"/>
      <c r="I112" s="346"/>
      <c r="J112" s="345"/>
      <c r="K112" s="345"/>
      <c r="L112" s="345"/>
      <c r="M112" s="345"/>
      <c r="N112" s="293"/>
      <c r="P112" s="289"/>
    </row>
    <row r="113" spans="1:16" ht="14.4" thickBot="1" x14ac:dyDescent="0.35">
      <c r="B113" s="344"/>
      <c r="C113" s="345" t="s">
        <v>326</v>
      </c>
      <c r="D113" s="345"/>
      <c r="E113" s="346"/>
      <c r="F113" s="346"/>
      <c r="G113" s="346"/>
      <c r="H113" s="346"/>
      <c r="I113" s="346"/>
      <c r="J113" s="345"/>
      <c r="K113" s="345"/>
      <c r="L113" s="345"/>
      <c r="M113" s="345"/>
      <c r="N113" s="293"/>
      <c r="P113" s="289"/>
    </row>
    <row r="114" spans="1:16" ht="14.4" thickBot="1" x14ac:dyDescent="0.35">
      <c r="B114" s="336"/>
      <c r="C114" s="336" t="s">
        <v>322</v>
      </c>
      <c r="D114" s="336"/>
      <c r="E114" s="336"/>
      <c r="F114" s="391">
        <f>F105+F108+F111</f>
        <v>28973737.939999998</v>
      </c>
      <c r="G114" s="391">
        <f t="shared" ref="G114:M114" si="22">G105+G108+G111</f>
        <v>15840243.007906489</v>
      </c>
      <c r="H114" s="391">
        <f t="shared" si="22"/>
        <v>6566747.4660467543</v>
      </c>
      <c r="I114" s="391">
        <f t="shared" si="22"/>
        <v>6566747.4660467543</v>
      </c>
      <c r="J114" s="391">
        <f t="shared" si="22"/>
        <v>0</v>
      </c>
      <c r="K114" s="391">
        <f t="shared" si="22"/>
        <v>0</v>
      </c>
      <c r="L114" s="391">
        <f t="shared" si="22"/>
        <v>0</v>
      </c>
      <c r="M114" s="391">
        <f t="shared" si="22"/>
        <v>0</v>
      </c>
      <c r="N114" s="293"/>
      <c r="P114" s="289"/>
    </row>
    <row r="115" spans="1:16" ht="16.2" thickBot="1" x14ac:dyDescent="0.35">
      <c r="B115" s="344"/>
      <c r="C115" s="392" t="s">
        <v>323</v>
      </c>
      <c r="D115" s="345"/>
      <c r="E115" s="346"/>
      <c r="F115" s="346"/>
      <c r="G115" s="346"/>
      <c r="H115" s="346"/>
      <c r="I115" s="346"/>
      <c r="J115" s="345"/>
      <c r="K115" s="345"/>
      <c r="L115" s="345"/>
      <c r="M115" s="345"/>
      <c r="N115" s="293"/>
      <c r="P115" s="289"/>
    </row>
    <row r="116" spans="1:16" ht="14.4" thickBot="1" x14ac:dyDescent="0.35">
      <c r="B116" s="393">
        <v>5</v>
      </c>
      <c r="C116" s="394" t="s">
        <v>545</v>
      </c>
      <c r="D116" s="394"/>
      <c r="E116" s="395"/>
      <c r="F116" s="395"/>
      <c r="G116" s="395"/>
      <c r="H116" s="395"/>
      <c r="I116" s="395"/>
      <c r="J116" s="394"/>
      <c r="K116" s="394"/>
      <c r="L116" s="394"/>
      <c r="M116" s="394"/>
      <c r="N116" s="293"/>
      <c r="P116" s="289"/>
    </row>
    <row r="117" spans="1:16" ht="14.4" thickBot="1" x14ac:dyDescent="0.35">
      <c r="B117" s="307">
        <v>5.2</v>
      </c>
      <c r="C117" s="308" t="s">
        <v>762</v>
      </c>
      <c r="D117" s="319" t="s">
        <v>10</v>
      </c>
      <c r="E117" s="332">
        <f>'16. APP UIIDP'!D226</f>
        <v>18000</v>
      </c>
      <c r="F117" s="310">
        <f>'16. APP UIIDP'!G226</f>
        <v>3498963.64</v>
      </c>
      <c r="G117" s="396"/>
      <c r="H117" s="396"/>
      <c r="I117" s="396"/>
      <c r="J117" s="311"/>
      <c r="K117" s="320"/>
      <c r="L117" s="320">
        <f>F117</f>
        <v>3498963.64</v>
      </c>
      <c r="M117" s="311"/>
      <c r="N117" s="293"/>
      <c r="P117" s="289"/>
    </row>
    <row r="118" spans="1:16" ht="14.4" thickBot="1" x14ac:dyDescent="0.35">
      <c r="B118" s="307">
        <v>5.3</v>
      </c>
      <c r="C118" s="308" t="s">
        <v>787</v>
      </c>
      <c r="D118" s="319" t="s">
        <v>10</v>
      </c>
      <c r="E118" s="332">
        <f>'16. APP UIIDP'!D229</f>
        <v>4000</v>
      </c>
      <c r="F118" s="310">
        <f>'16. APP UIIDP'!G229</f>
        <v>726094.65</v>
      </c>
      <c r="G118" s="396"/>
      <c r="H118" s="396"/>
      <c r="I118" s="396"/>
      <c r="J118" s="311"/>
      <c r="K118" s="320"/>
      <c r="L118" s="320">
        <f>F118</f>
        <v>726094.65</v>
      </c>
      <c r="M118" s="311"/>
      <c r="N118" s="293"/>
      <c r="P118" s="289"/>
    </row>
    <row r="119" spans="1:16" ht="14.4" thickBot="1" x14ac:dyDescent="0.35">
      <c r="B119" s="911"/>
      <c r="C119" s="349" t="s">
        <v>600</v>
      </c>
      <c r="D119" s="912"/>
      <c r="E119" s="913">
        <f>E117+E118</f>
        <v>22000</v>
      </c>
      <c r="F119" s="914">
        <f t="shared" ref="F119:L119" si="23">F117+F118</f>
        <v>4225058.29</v>
      </c>
      <c r="G119" s="913">
        <f t="shared" si="23"/>
        <v>0</v>
      </c>
      <c r="H119" s="913">
        <f t="shared" si="23"/>
        <v>0</v>
      </c>
      <c r="I119" s="913">
        <f t="shared" si="23"/>
        <v>0</v>
      </c>
      <c r="J119" s="913">
        <f t="shared" si="23"/>
        <v>0</v>
      </c>
      <c r="K119" s="913">
        <f t="shared" si="23"/>
        <v>0</v>
      </c>
      <c r="L119" s="914">
        <f t="shared" si="23"/>
        <v>4225058.29</v>
      </c>
      <c r="M119" s="915"/>
      <c r="N119" s="293"/>
      <c r="P119" s="289"/>
    </row>
    <row r="120" spans="1:16" ht="14.4" thickBot="1" x14ac:dyDescent="0.35">
      <c r="B120" s="307">
        <v>6</v>
      </c>
      <c r="C120" s="386" t="s">
        <v>598</v>
      </c>
      <c r="D120" s="319"/>
      <c r="E120" s="332"/>
      <c r="F120" s="310"/>
      <c r="G120" s="396"/>
      <c r="H120" s="396"/>
      <c r="I120" s="396"/>
      <c r="J120" s="311"/>
      <c r="K120" s="320"/>
      <c r="L120" s="320"/>
      <c r="M120" s="311"/>
      <c r="N120" s="293"/>
      <c r="P120" s="289"/>
    </row>
    <row r="121" spans="1:16" ht="14.4" thickBot="1" x14ac:dyDescent="0.35">
      <c r="B121" s="307">
        <v>6.1</v>
      </c>
      <c r="C121" s="308" t="s">
        <v>788</v>
      </c>
      <c r="D121" s="319" t="s">
        <v>11</v>
      </c>
      <c r="E121" s="1081">
        <v>0.1</v>
      </c>
      <c r="F121" s="310">
        <f>'16. APP UIIDP'!H219</f>
        <v>630392.94999999995</v>
      </c>
      <c r="G121" s="396"/>
      <c r="H121" s="396"/>
      <c r="I121" s="396"/>
      <c r="J121" s="311"/>
      <c r="K121" s="320"/>
      <c r="L121" s="320">
        <f>F121</f>
        <v>630392.94999999995</v>
      </c>
      <c r="M121" s="311"/>
      <c r="N121" s="293"/>
      <c r="P121" s="289"/>
    </row>
    <row r="122" spans="1:16" ht="14.4" thickBot="1" x14ac:dyDescent="0.35">
      <c r="B122" s="911"/>
      <c r="C122" s="349" t="s">
        <v>599</v>
      </c>
      <c r="D122" s="912"/>
      <c r="E122" s="1082">
        <f>E121</f>
        <v>0.1</v>
      </c>
      <c r="F122" s="914">
        <f t="shared" ref="F122:M122" si="24">F121</f>
        <v>630392.94999999995</v>
      </c>
      <c r="G122" s="913">
        <f t="shared" si="24"/>
        <v>0</v>
      </c>
      <c r="H122" s="913">
        <f t="shared" si="24"/>
        <v>0</v>
      </c>
      <c r="I122" s="913">
        <f t="shared" si="24"/>
        <v>0</v>
      </c>
      <c r="J122" s="913">
        <f t="shared" si="24"/>
        <v>0</v>
      </c>
      <c r="K122" s="913">
        <f t="shared" si="24"/>
        <v>0</v>
      </c>
      <c r="L122" s="914">
        <f t="shared" si="24"/>
        <v>630392.94999999995</v>
      </c>
      <c r="M122" s="913">
        <f t="shared" si="24"/>
        <v>0</v>
      </c>
      <c r="N122" s="293"/>
      <c r="P122" s="289"/>
    </row>
    <row r="123" spans="1:16" ht="14.4" thickBot="1" x14ac:dyDescent="0.35">
      <c r="B123" s="911">
        <v>7</v>
      </c>
      <c r="C123" s="387" t="s">
        <v>489</v>
      </c>
      <c r="D123" s="912"/>
      <c r="E123" s="913"/>
      <c r="F123" s="913"/>
      <c r="G123" s="913"/>
      <c r="H123" s="913"/>
      <c r="I123" s="913"/>
      <c r="J123" s="913"/>
      <c r="K123" s="913"/>
      <c r="L123" s="914"/>
      <c r="M123" s="913"/>
      <c r="N123" s="293"/>
      <c r="P123" s="289"/>
    </row>
    <row r="124" spans="1:16" ht="14.4" thickBot="1" x14ac:dyDescent="0.35">
      <c r="B124" s="307">
        <v>7.1</v>
      </c>
      <c r="C124" s="308" t="s">
        <v>508</v>
      </c>
      <c r="D124" s="319" t="s">
        <v>11</v>
      </c>
      <c r="E124" s="1081">
        <v>0.1</v>
      </c>
      <c r="F124" s="310">
        <f>'16. APP UIIDP'!H224</f>
        <v>1318048.29</v>
      </c>
      <c r="G124" s="396"/>
      <c r="H124" s="396"/>
      <c r="I124" s="396"/>
      <c r="J124" s="311"/>
      <c r="K124" s="320"/>
      <c r="L124" s="320">
        <f>F124</f>
        <v>1318048.29</v>
      </c>
      <c r="M124" s="311"/>
      <c r="N124" s="293"/>
      <c r="P124" s="289"/>
    </row>
    <row r="125" spans="1:16" ht="14.4" thickBot="1" x14ac:dyDescent="0.35">
      <c r="B125" s="393"/>
      <c r="C125" s="387" t="s">
        <v>601</v>
      </c>
      <c r="D125" s="394"/>
      <c r="E125" s="395">
        <f>E124</f>
        <v>0.1</v>
      </c>
      <c r="F125" s="395">
        <f t="shared" ref="F125:L125" si="25">F124</f>
        <v>1318048.29</v>
      </c>
      <c r="G125" s="395">
        <f t="shared" si="25"/>
        <v>0</v>
      </c>
      <c r="H125" s="395">
        <f t="shared" si="25"/>
        <v>0</v>
      </c>
      <c r="I125" s="395">
        <f t="shared" si="25"/>
        <v>0</v>
      </c>
      <c r="J125" s="395">
        <f t="shared" si="25"/>
        <v>0</v>
      </c>
      <c r="K125" s="395">
        <f t="shared" si="25"/>
        <v>0</v>
      </c>
      <c r="L125" s="395">
        <f t="shared" si="25"/>
        <v>1318048.29</v>
      </c>
      <c r="M125" s="394"/>
      <c r="N125" s="293"/>
      <c r="P125" s="289"/>
    </row>
    <row r="126" spans="1:16" ht="14.4" thickBot="1" x14ac:dyDescent="0.35">
      <c r="B126" s="393">
        <v>6</v>
      </c>
      <c r="C126" s="394" t="s">
        <v>548</v>
      </c>
      <c r="D126" s="394"/>
      <c r="E126" s="397"/>
      <c r="F126" s="398"/>
      <c r="G126" s="398"/>
      <c r="H126" s="398"/>
      <c r="I126" s="398"/>
      <c r="J126" s="394"/>
      <c r="K126" s="395"/>
      <c r="L126" s="320"/>
      <c r="M126" s="394"/>
      <c r="N126" s="293"/>
      <c r="P126" s="289"/>
    </row>
    <row r="127" spans="1:16" ht="14.4" thickBot="1" x14ac:dyDescent="0.35">
      <c r="A127" s="693"/>
      <c r="B127" s="689">
        <v>6.1</v>
      </c>
      <c r="C127" s="324" t="s">
        <v>761</v>
      </c>
      <c r="D127" s="690" t="s">
        <v>97</v>
      </c>
      <c r="E127" s="704">
        <f>'16. APP UIIDP'!D203</f>
        <v>90</v>
      </c>
      <c r="F127" s="705">
        <f>'16. APP UIIDP'!H206</f>
        <v>428733.89</v>
      </c>
      <c r="G127" s="705"/>
      <c r="H127" s="705"/>
      <c r="I127" s="705"/>
      <c r="J127" s="690"/>
      <c r="K127" s="706"/>
      <c r="L127" s="707">
        <f>F127</f>
        <v>428733.89</v>
      </c>
      <c r="M127" s="690"/>
      <c r="N127" s="293"/>
      <c r="P127" s="289"/>
    </row>
    <row r="128" spans="1:16" ht="14.4" thickBot="1" x14ac:dyDescent="0.35">
      <c r="A128" s="693"/>
      <c r="B128" s="689"/>
      <c r="C128" s="690" t="s">
        <v>549</v>
      </c>
      <c r="D128" s="690"/>
      <c r="E128" s="704">
        <f>E127</f>
        <v>90</v>
      </c>
      <c r="F128" s="705">
        <f t="shared" ref="F128:L128" si="26">F127</f>
        <v>428733.89</v>
      </c>
      <c r="G128" s="704">
        <f t="shared" si="26"/>
        <v>0</v>
      </c>
      <c r="H128" s="704">
        <f t="shared" si="26"/>
        <v>0</v>
      </c>
      <c r="I128" s="704">
        <f t="shared" si="26"/>
        <v>0</v>
      </c>
      <c r="J128" s="704">
        <f t="shared" si="26"/>
        <v>0</v>
      </c>
      <c r="K128" s="704">
        <f t="shared" si="26"/>
        <v>0</v>
      </c>
      <c r="L128" s="705">
        <f t="shared" si="26"/>
        <v>428733.89</v>
      </c>
      <c r="M128" s="690"/>
      <c r="N128" s="293"/>
    </row>
    <row r="129" spans="2:16" s="1089" customFormat="1" x14ac:dyDescent="0.3">
      <c r="B129" s="689">
        <v>2</v>
      </c>
      <c r="C129" s="689" t="s">
        <v>785</v>
      </c>
      <c r="D129" s="689"/>
      <c r="E129" s="1107"/>
      <c r="F129" s="1107"/>
      <c r="G129" s="1107"/>
      <c r="H129" s="1107"/>
      <c r="I129" s="1107"/>
      <c r="J129" s="689"/>
      <c r="K129" s="689"/>
      <c r="L129" s="689"/>
      <c r="M129" s="689"/>
      <c r="N129" s="1095"/>
    </row>
    <row r="130" spans="2:16" ht="14.4" thickBot="1" x14ac:dyDescent="0.35">
      <c r="B130" s="307" t="s">
        <v>184</v>
      </c>
      <c r="C130" s="308" t="s">
        <v>406</v>
      </c>
      <c r="D130" s="319" t="s">
        <v>3</v>
      </c>
      <c r="E130" s="320">
        <v>1</v>
      </c>
      <c r="F130" s="320">
        <v>4018603.09</v>
      </c>
      <c r="G130" s="320"/>
      <c r="H130" s="320"/>
      <c r="I130" s="320"/>
      <c r="J130" s="320"/>
      <c r="K130" s="320"/>
      <c r="L130" s="320">
        <f>F130</f>
        <v>4018603.09</v>
      </c>
      <c r="M130" s="311"/>
      <c r="N130" s="293"/>
    </row>
    <row r="131" spans="2:16" s="1089" customFormat="1" x14ac:dyDescent="0.3">
      <c r="B131" s="689"/>
      <c r="C131" s="689" t="s">
        <v>784</v>
      </c>
      <c r="D131" s="689"/>
      <c r="E131" s="1107">
        <f>E130</f>
        <v>1</v>
      </c>
      <c r="F131" s="1107">
        <f t="shared" ref="F131:L131" si="27">F130</f>
        <v>4018603.09</v>
      </c>
      <c r="G131" s="1107"/>
      <c r="H131" s="1107"/>
      <c r="I131" s="1107"/>
      <c r="J131" s="1107">
        <f t="shared" si="27"/>
        <v>0</v>
      </c>
      <c r="K131" s="1107">
        <f t="shared" si="27"/>
        <v>0</v>
      </c>
      <c r="L131" s="1107">
        <f t="shared" si="27"/>
        <v>4018603.09</v>
      </c>
      <c r="M131" s="689"/>
      <c r="N131" s="1095"/>
    </row>
    <row r="132" spans="2:16" s="1416" customFormat="1" ht="16.2" thickBot="1" x14ac:dyDescent="0.35">
      <c r="B132" s="689"/>
      <c r="C132" s="392" t="s">
        <v>786</v>
      </c>
      <c r="D132" s="1417"/>
      <c r="E132" s="949"/>
      <c r="F132" s="949">
        <f>F119+F122+F125+F128+F131</f>
        <v>10620836.51</v>
      </c>
      <c r="G132" s="949">
        <f t="shared" ref="G132:L132" si="28">G119+G122+G125+G128+G131</f>
        <v>0</v>
      </c>
      <c r="H132" s="949">
        <f t="shared" si="28"/>
        <v>0</v>
      </c>
      <c r="I132" s="949">
        <f t="shared" si="28"/>
        <v>0</v>
      </c>
      <c r="J132" s="949">
        <f t="shared" si="28"/>
        <v>0</v>
      </c>
      <c r="K132" s="949">
        <f t="shared" si="28"/>
        <v>0</v>
      </c>
      <c r="L132" s="949">
        <f t="shared" si="28"/>
        <v>10620836.51</v>
      </c>
      <c r="M132" s="1417"/>
      <c r="N132" s="1418"/>
    </row>
    <row r="133" spans="2:16" ht="16.2" thickBot="1" x14ac:dyDescent="0.35">
      <c r="B133" s="399"/>
      <c r="C133" s="400" t="s">
        <v>324</v>
      </c>
      <c r="D133" s="401"/>
      <c r="E133" s="402"/>
      <c r="F133" s="402">
        <f>F114+F132</f>
        <v>39594574.449999996</v>
      </c>
      <c r="G133" s="402">
        <f t="shared" ref="G133:L133" si="29">G114+G132</f>
        <v>15840243.007906489</v>
      </c>
      <c r="H133" s="402">
        <f t="shared" si="29"/>
        <v>6566747.4660467543</v>
      </c>
      <c r="I133" s="402">
        <f t="shared" si="29"/>
        <v>6566747.4660467543</v>
      </c>
      <c r="J133" s="402">
        <f t="shared" si="29"/>
        <v>0</v>
      </c>
      <c r="K133" s="402">
        <f t="shared" si="29"/>
        <v>0</v>
      </c>
      <c r="L133" s="402">
        <f t="shared" si="29"/>
        <v>10620836.51</v>
      </c>
      <c r="M133" s="402">
        <v>0</v>
      </c>
      <c r="N133" s="293"/>
    </row>
    <row r="134" spans="2:16" ht="18" thickBot="1" x14ac:dyDescent="0.35">
      <c r="B134" s="403"/>
      <c r="C134" s="404" t="s">
        <v>303</v>
      </c>
      <c r="D134" s="403"/>
      <c r="E134" s="403"/>
      <c r="F134" s="405"/>
      <c r="G134" s="405"/>
      <c r="H134" s="405"/>
      <c r="I134" s="405"/>
      <c r="J134" s="405"/>
      <c r="K134" s="405"/>
      <c r="L134" s="403"/>
      <c r="M134" s="403"/>
      <c r="N134" s="293"/>
    </row>
    <row r="135" spans="2:16" s="1353" customFormat="1" ht="16.2" thickBot="1" x14ac:dyDescent="0.35">
      <c r="B135" s="150"/>
      <c r="C135" s="2058" t="s">
        <v>337</v>
      </c>
      <c r="D135" s="2059"/>
      <c r="E135" s="2059"/>
      <c r="F135" s="409">
        <f t="shared" ref="F135:L135" si="30">F133</f>
        <v>39594574.449999996</v>
      </c>
      <c r="G135" s="409">
        <f t="shared" si="30"/>
        <v>15840243.007906489</v>
      </c>
      <c r="H135" s="409">
        <f t="shared" si="30"/>
        <v>6566747.4660467543</v>
      </c>
      <c r="I135" s="409">
        <f t="shared" si="30"/>
        <v>6566747.4660467543</v>
      </c>
      <c r="J135" s="409">
        <f t="shared" si="30"/>
        <v>0</v>
      </c>
      <c r="K135" s="409">
        <f t="shared" si="30"/>
        <v>0</v>
      </c>
      <c r="L135" s="409">
        <f t="shared" si="30"/>
        <v>10620836.51</v>
      </c>
      <c r="M135" s="409" t="s">
        <v>138</v>
      </c>
      <c r="N135" s="1358"/>
      <c r="P135" s="1421"/>
    </row>
    <row r="136" spans="2:16" s="318" customFormat="1" ht="16.2" thickBot="1" x14ac:dyDescent="0.35">
      <c r="B136" s="130"/>
      <c r="C136" s="410" t="s">
        <v>327</v>
      </c>
      <c r="D136" s="411"/>
      <c r="E136" s="412"/>
      <c r="F136" s="412"/>
      <c r="G136" s="412"/>
      <c r="H136" s="412"/>
      <c r="I136" s="412"/>
      <c r="J136" s="412"/>
      <c r="K136" s="412"/>
      <c r="L136" s="412"/>
      <c r="M136" s="413"/>
      <c r="N136" s="317"/>
      <c r="P136" s="420"/>
    </row>
    <row r="137" spans="2:16" s="318" customFormat="1" ht="18" thickBot="1" x14ac:dyDescent="0.35">
      <c r="B137" s="385"/>
      <c r="C137" s="414" t="s">
        <v>164</v>
      </c>
      <c r="D137" s="380"/>
      <c r="E137" s="381"/>
      <c r="F137" s="381"/>
      <c r="G137" s="381"/>
      <c r="H137" s="381"/>
      <c r="I137" s="381"/>
      <c r="J137" s="383"/>
      <c r="K137" s="383"/>
      <c r="L137" s="383"/>
      <c r="M137" s="383"/>
      <c r="N137" s="317"/>
      <c r="P137" s="420"/>
    </row>
    <row r="138" spans="2:16" ht="14.4" thickBot="1" x14ac:dyDescent="0.35">
      <c r="B138" s="373">
        <v>2</v>
      </c>
      <c r="C138" s="415" t="s">
        <v>336</v>
      </c>
      <c r="D138" s="415"/>
      <c r="E138" s="416"/>
      <c r="F138" s="416"/>
      <c r="G138" s="416"/>
      <c r="H138" s="416"/>
      <c r="I138" s="416"/>
      <c r="J138" s="415"/>
      <c r="K138" s="415"/>
      <c r="L138" s="415"/>
      <c r="M138" s="415"/>
      <c r="N138" s="293"/>
    </row>
    <row r="139" spans="2:16" ht="14.4" thickBot="1" x14ac:dyDescent="0.35">
      <c r="B139" s="307">
        <v>2.1</v>
      </c>
      <c r="C139" s="308" t="s">
        <v>503</v>
      </c>
      <c r="D139" s="319" t="s">
        <v>9</v>
      </c>
      <c r="E139" s="389">
        <f>'16. APP UIIDP'!D211</f>
        <v>250</v>
      </c>
      <c r="F139" s="310">
        <f>'16. APP UIIDP'!H211</f>
        <v>9806360.5</v>
      </c>
      <c r="G139" s="320"/>
      <c r="H139" s="320">
        <f>G139*0.41512</f>
        <v>0</v>
      </c>
      <c r="I139" s="320">
        <f>G139*0.41512</f>
        <v>0</v>
      </c>
      <c r="J139" s="311"/>
      <c r="K139" s="311"/>
      <c r="L139" s="320">
        <f>F139</f>
        <v>9806360.5</v>
      </c>
      <c r="M139" s="311"/>
      <c r="N139" s="293"/>
    </row>
    <row r="140" spans="2:16" ht="14.4" thickBot="1" x14ac:dyDescent="0.35">
      <c r="B140" s="307">
        <v>2.2000000000000002</v>
      </c>
      <c r="C140" s="308" t="s">
        <v>502</v>
      </c>
      <c r="D140" s="319" t="s">
        <v>9</v>
      </c>
      <c r="E140" s="389">
        <f>'16. APP UIIDP'!D208</f>
        <v>80</v>
      </c>
      <c r="F140" s="310">
        <f>'16. APP UIIDP'!H208</f>
        <v>1383319.47</v>
      </c>
      <c r="G140" s="320"/>
      <c r="H140" s="320"/>
      <c r="I140" s="320"/>
      <c r="J140" s="311"/>
      <c r="K140" s="311"/>
      <c r="L140" s="320">
        <f>F140</f>
        <v>1383319.47</v>
      </c>
      <c r="M140" s="311"/>
      <c r="N140" s="293"/>
    </row>
    <row r="141" spans="2:16" ht="14.4" thickBot="1" x14ac:dyDescent="0.35">
      <c r="B141" s="373"/>
      <c r="C141" s="415" t="s">
        <v>169</v>
      </c>
      <c r="D141" s="415"/>
      <c r="E141" s="416">
        <f>E139+E140</f>
        <v>330</v>
      </c>
      <c r="F141" s="416">
        <f t="shared" ref="F141:L141" si="31">F139+F140</f>
        <v>11189679.970000001</v>
      </c>
      <c r="G141" s="416">
        <f t="shared" si="31"/>
        <v>0</v>
      </c>
      <c r="H141" s="416">
        <f t="shared" si="31"/>
        <v>0</v>
      </c>
      <c r="I141" s="416">
        <f t="shared" si="31"/>
        <v>0</v>
      </c>
      <c r="J141" s="416">
        <f t="shared" si="31"/>
        <v>0</v>
      </c>
      <c r="K141" s="416">
        <f t="shared" si="31"/>
        <v>0</v>
      </c>
      <c r="L141" s="416">
        <f t="shared" si="31"/>
        <v>11189679.970000001</v>
      </c>
      <c r="M141" s="415"/>
      <c r="N141" s="293"/>
      <c r="O141" s="534">
        <f>F139+F140</f>
        <v>11189679.970000001</v>
      </c>
      <c r="P141" s="289"/>
    </row>
    <row r="142" spans="2:16" ht="14.4" thickBot="1" x14ac:dyDescent="0.35">
      <c r="B142" s="329"/>
      <c r="C142" s="330" t="s">
        <v>282</v>
      </c>
      <c r="D142" s="330"/>
      <c r="E142" s="331">
        <f>E141</f>
        <v>330</v>
      </c>
      <c r="F142" s="331">
        <f>F141</f>
        <v>11189679.970000001</v>
      </c>
      <c r="G142" s="331">
        <f t="shared" ref="G142:L142" si="32">G141</f>
        <v>0</v>
      </c>
      <c r="H142" s="331">
        <f t="shared" si="32"/>
        <v>0</v>
      </c>
      <c r="I142" s="331">
        <f t="shared" si="32"/>
        <v>0</v>
      </c>
      <c r="J142" s="331">
        <f t="shared" si="32"/>
        <v>0</v>
      </c>
      <c r="K142" s="331">
        <f t="shared" si="32"/>
        <v>0</v>
      </c>
      <c r="L142" s="331">
        <f t="shared" si="32"/>
        <v>11189679.970000001</v>
      </c>
      <c r="M142" s="330"/>
      <c r="N142" s="293"/>
      <c r="P142" s="289"/>
    </row>
    <row r="143" spans="2:16" ht="18" thickBot="1" x14ac:dyDescent="0.35">
      <c r="B143" s="414"/>
      <c r="C143" s="414" t="s">
        <v>324</v>
      </c>
      <c r="D143" s="527"/>
      <c r="E143" s="527"/>
      <c r="F143" s="528">
        <f>F142</f>
        <v>11189679.970000001</v>
      </c>
      <c r="G143" s="528">
        <f>G142</f>
        <v>0</v>
      </c>
      <c r="H143" s="528">
        <f>H142</f>
        <v>0</v>
      </c>
      <c r="I143" s="528">
        <f>I142</f>
        <v>0</v>
      </c>
      <c r="J143" s="528"/>
      <c r="K143" s="528"/>
      <c r="L143" s="529">
        <f>L142</f>
        <v>11189679.970000001</v>
      </c>
      <c r="M143" s="527"/>
      <c r="N143" s="293"/>
      <c r="P143" s="289"/>
    </row>
    <row r="144" spans="2:16" s="1353" customFormat="1" ht="17.399999999999999" x14ac:dyDescent="0.3">
      <c r="B144" s="417"/>
      <c r="C144" s="526" t="s">
        <v>328</v>
      </c>
      <c r="D144" s="530"/>
      <c r="E144" s="530"/>
      <c r="F144" s="530">
        <f>F143</f>
        <v>11189679.970000001</v>
      </c>
      <c r="G144" s="530">
        <f t="shared" ref="G144:M144" si="33">G143</f>
        <v>0</v>
      </c>
      <c r="H144" s="530">
        <f t="shared" si="33"/>
        <v>0</v>
      </c>
      <c r="I144" s="530">
        <f t="shared" si="33"/>
        <v>0</v>
      </c>
      <c r="J144" s="530">
        <f t="shared" si="33"/>
        <v>0</v>
      </c>
      <c r="K144" s="530"/>
      <c r="L144" s="530">
        <f t="shared" si="33"/>
        <v>11189679.970000001</v>
      </c>
      <c r="M144" s="530">
        <f t="shared" si="33"/>
        <v>0</v>
      </c>
      <c r="N144" s="1358"/>
    </row>
    <row r="145" spans="2:16" ht="26.4" x14ac:dyDescent="0.3">
      <c r="B145" s="531"/>
      <c r="C145" s="532" t="s">
        <v>167</v>
      </c>
      <c r="D145" s="531"/>
      <c r="E145" s="531"/>
      <c r="F145" s="531"/>
      <c r="G145" s="531"/>
      <c r="H145" s="531"/>
      <c r="I145" s="531"/>
      <c r="J145" s="531"/>
      <c r="K145" s="531"/>
      <c r="L145" s="531"/>
      <c r="M145" s="531"/>
      <c r="N145" s="293"/>
      <c r="P145" s="289"/>
    </row>
    <row r="146" spans="2:16" ht="16.2" thickBot="1" x14ac:dyDescent="0.35">
      <c r="B146" s="126"/>
      <c r="C146" s="127" t="s">
        <v>331</v>
      </c>
      <c r="D146" s="128"/>
      <c r="E146" s="128"/>
      <c r="F146" s="129"/>
      <c r="G146" s="129"/>
      <c r="H146" s="129"/>
      <c r="I146" s="129"/>
      <c r="J146" s="128"/>
      <c r="K146" s="128"/>
      <c r="L146" s="128"/>
      <c r="M146" s="128"/>
      <c r="N146" s="293"/>
      <c r="P146" s="289"/>
    </row>
    <row r="147" spans="2:16" ht="16.2" thickBot="1" x14ac:dyDescent="0.35">
      <c r="B147" s="126" t="s">
        <v>1</v>
      </c>
      <c r="C147" s="127" t="s">
        <v>332</v>
      </c>
      <c r="D147" s="128"/>
      <c r="E147" s="128"/>
      <c r="F147" s="129"/>
      <c r="G147" s="129"/>
      <c r="H147" s="129"/>
      <c r="I147" s="129"/>
      <c r="J147" s="128"/>
      <c r="K147" s="128"/>
      <c r="L147" s="128"/>
      <c r="M147" s="128"/>
      <c r="N147" s="293"/>
      <c r="P147" s="289"/>
    </row>
    <row r="148" spans="2:16" ht="14.4" thickBot="1" x14ac:dyDescent="0.35">
      <c r="B148" s="307"/>
      <c r="C148" s="308"/>
      <c r="D148" s="319"/>
      <c r="E148" s="332"/>
      <c r="F148" s="310"/>
      <c r="G148" s="320"/>
      <c r="H148" s="320"/>
      <c r="I148" s="320"/>
      <c r="J148" s="320"/>
      <c r="K148" s="320"/>
      <c r="L148" s="311"/>
      <c r="M148" s="311"/>
      <c r="N148" s="293"/>
      <c r="P148" s="289"/>
    </row>
    <row r="150" spans="2:16" ht="16.2" thickBot="1" x14ac:dyDescent="0.35">
      <c r="B150" s="126"/>
      <c r="C150" s="127" t="s">
        <v>333</v>
      </c>
      <c r="D150" s="128"/>
      <c r="E150" s="128"/>
      <c r="F150" s="129"/>
      <c r="G150" s="129"/>
      <c r="H150" s="129"/>
      <c r="I150" s="129"/>
      <c r="J150" s="128"/>
      <c r="K150" s="128"/>
      <c r="L150" s="128"/>
      <c r="M150" s="128"/>
      <c r="N150" s="293"/>
      <c r="P150" s="289"/>
    </row>
    <row r="151" spans="2:16" ht="14.4" thickBot="1" x14ac:dyDescent="0.35">
      <c r="B151" s="307">
        <v>1</v>
      </c>
      <c r="C151" s="308" t="s">
        <v>120</v>
      </c>
      <c r="D151" s="319" t="s">
        <v>3</v>
      </c>
      <c r="E151" s="332">
        <v>1</v>
      </c>
      <c r="F151" s="310">
        <f>' Municipal Projects APP '!H18</f>
        <v>4000000</v>
      </c>
      <c r="G151" s="320"/>
      <c r="H151" s="320"/>
      <c r="I151" s="320"/>
      <c r="J151" s="320"/>
      <c r="K151" s="320">
        <f>F151</f>
        <v>4000000</v>
      </c>
      <c r="L151" s="311"/>
      <c r="M151" s="311"/>
      <c r="N151" s="293"/>
      <c r="P151" s="289"/>
    </row>
    <row r="152" spans="2:16" ht="14.4" thickBot="1" x14ac:dyDescent="0.35">
      <c r="B152" s="307">
        <v>2</v>
      </c>
      <c r="C152" s="308" t="s">
        <v>153</v>
      </c>
      <c r="D152" s="319" t="s">
        <v>3</v>
      </c>
      <c r="E152" s="332">
        <v>1</v>
      </c>
      <c r="F152" s="310">
        <f>' Municipal Projects APP '!H21</f>
        <v>9448892</v>
      </c>
      <c r="G152" s="320"/>
      <c r="H152" s="320"/>
      <c r="I152" s="320"/>
      <c r="J152" s="320"/>
      <c r="K152" s="320">
        <f>F152</f>
        <v>9448892</v>
      </c>
      <c r="L152" s="311"/>
      <c r="M152" s="311"/>
      <c r="N152" s="293"/>
      <c r="P152" s="289"/>
    </row>
    <row r="153" spans="2:16" s="693" customFormat="1" ht="14.4" thickBot="1" x14ac:dyDescent="0.35">
      <c r="B153" s="944">
        <v>3</v>
      </c>
      <c r="C153" s="308" t="s">
        <v>608</v>
      </c>
      <c r="D153" s="319" t="s">
        <v>3</v>
      </c>
      <c r="E153" s="945">
        <v>1</v>
      </c>
      <c r="F153" s="738">
        <f>'State projects APP'!H21</f>
        <v>1585000</v>
      </c>
      <c r="G153" s="707"/>
      <c r="H153" s="707"/>
      <c r="I153" s="707"/>
      <c r="J153" s="707">
        <f>F153</f>
        <v>1585000</v>
      </c>
      <c r="K153" s="707"/>
      <c r="L153" s="946"/>
      <c r="M153" s="946"/>
      <c r="N153" s="692"/>
    </row>
    <row r="154" spans="2:16" ht="14.4" thickBot="1" x14ac:dyDescent="0.35">
      <c r="B154" s="307">
        <v>3</v>
      </c>
      <c r="C154" s="308" t="s">
        <v>436</v>
      </c>
      <c r="D154" s="319" t="s">
        <v>3</v>
      </c>
      <c r="E154" s="1081">
        <v>1</v>
      </c>
      <c r="F154" s="310">
        <f>'State projects APP'!H24</f>
        <v>1500000</v>
      </c>
      <c r="G154" s="320"/>
      <c r="H154" s="320"/>
      <c r="I154" s="320"/>
      <c r="J154" s="320">
        <f>F154</f>
        <v>1500000</v>
      </c>
      <c r="K154" s="320"/>
      <c r="L154" s="320"/>
      <c r="M154" s="311"/>
      <c r="N154" s="293"/>
      <c r="P154" s="289"/>
    </row>
    <row r="155" spans="2:16" ht="16.2" thickBot="1" x14ac:dyDescent="0.35">
      <c r="B155" s="366"/>
      <c r="C155" s="127" t="s">
        <v>789</v>
      </c>
      <c r="D155" s="406" t="s">
        <v>3</v>
      </c>
      <c r="E155" s="408">
        <f>E151+E152+E153+E154</f>
        <v>4</v>
      </c>
      <c r="F155" s="408">
        <f>F151+F152+F153+F154</f>
        <v>16533892</v>
      </c>
      <c r="G155" s="408">
        <f t="shared" ref="G155:M155" si="34">G151+G152+G153+G154</f>
        <v>0</v>
      </c>
      <c r="H155" s="408">
        <f t="shared" si="34"/>
        <v>0</v>
      </c>
      <c r="I155" s="408">
        <f t="shared" si="34"/>
        <v>0</v>
      </c>
      <c r="J155" s="408">
        <f t="shared" si="34"/>
        <v>3085000</v>
      </c>
      <c r="K155" s="408">
        <f t="shared" si="34"/>
        <v>13448892</v>
      </c>
      <c r="L155" s="408">
        <f t="shared" si="34"/>
        <v>0</v>
      </c>
      <c r="M155" s="408">
        <f t="shared" si="34"/>
        <v>0</v>
      </c>
      <c r="N155" s="293"/>
      <c r="P155" s="289"/>
    </row>
    <row r="156" spans="2:16" ht="16.2" thickBot="1" x14ac:dyDescent="0.35">
      <c r="B156" s="126"/>
      <c r="C156" s="127" t="s">
        <v>334</v>
      </c>
      <c r="D156" s="694" t="s">
        <v>3</v>
      </c>
      <c r="E156" s="129">
        <f>E155</f>
        <v>4</v>
      </c>
      <c r="F156" s="129">
        <f t="shared" ref="F156:M157" si="35">F155</f>
        <v>16533892</v>
      </c>
      <c r="G156" s="129">
        <f t="shared" si="35"/>
        <v>0</v>
      </c>
      <c r="H156" s="129">
        <f t="shared" si="35"/>
        <v>0</v>
      </c>
      <c r="I156" s="129">
        <f t="shared" si="35"/>
        <v>0</v>
      </c>
      <c r="J156" s="129">
        <f t="shared" si="35"/>
        <v>3085000</v>
      </c>
      <c r="K156" s="129">
        <f t="shared" si="35"/>
        <v>13448892</v>
      </c>
      <c r="L156" s="129">
        <f t="shared" si="35"/>
        <v>0</v>
      </c>
      <c r="M156" s="129">
        <f t="shared" si="35"/>
        <v>0</v>
      </c>
      <c r="N156" s="293"/>
      <c r="P156" s="289"/>
    </row>
    <row r="157" spans="2:16" ht="16.2" thickBot="1" x14ac:dyDescent="0.35">
      <c r="B157" s="126"/>
      <c r="C157" s="127" t="s">
        <v>335</v>
      </c>
      <c r="D157" s="128"/>
      <c r="E157" s="128"/>
      <c r="F157" s="129">
        <f>F156</f>
        <v>16533892</v>
      </c>
      <c r="G157" s="129">
        <f t="shared" si="35"/>
        <v>0</v>
      </c>
      <c r="H157" s="129">
        <f t="shared" si="35"/>
        <v>0</v>
      </c>
      <c r="I157" s="129">
        <f t="shared" si="35"/>
        <v>0</v>
      </c>
      <c r="J157" s="129">
        <f t="shared" si="35"/>
        <v>3085000</v>
      </c>
      <c r="K157" s="129">
        <f t="shared" si="35"/>
        <v>13448892</v>
      </c>
      <c r="L157" s="129">
        <f t="shared" si="35"/>
        <v>0</v>
      </c>
      <c r="M157" s="128"/>
      <c r="N157" s="293"/>
    </row>
    <row r="158" spans="2:16" x14ac:dyDescent="0.3">
      <c r="B158" s="2052"/>
      <c r="C158" s="2053" t="s">
        <v>232</v>
      </c>
      <c r="D158" s="307"/>
      <c r="E158" s="307"/>
      <c r="F158" s="307"/>
      <c r="G158" s="307"/>
      <c r="H158" s="307"/>
      <c r="I158" s="307"/>
      <c r="J158" s="307"/>
      <c r="K158" s="307"/>
      <c r="L158" s="307"/>
      <c r="M158" s="307"/>
      <c r="N158" s="938"/>
      <c r="P158" s="289"/>
    </row>
    <row r="159" spans="2:16" x14ac:dyDescent="0.3">
      <c r="B159" s="2052"/>
      <c r="C159" s="2053"/>
      <c r="D159" s="307"/>
      <c r="E159" s="307"/>
      <c r="F159" s="307"/>
      <c r="G159" s="307"/>
      <c r="H159" s="307"/>
      <c r="I159" s="307"/>
      <c r="J159" s="307"/>
      <c r="K159" s="307"/>
      <c r="L159" s="307"/>
      <c r="M159" s="307"/>
      <c r="N159" s="938"/>
      <c r="P159" s="289"/>
    </row>
    <row r="160" spans="2:16" ht="14.4" thickBot="1" x14ac:dyDescent="0.35">
      <c r="B160" s="939">
        <v>1</v>
      </c>
      <c r="C160" s="939"/>
      <c r="D160" s="319"/>
      <c r="E160" s="310"/>
      <c r="F160" s="310"/>
      <c r="G160" s="320"/>
      <c r="H160" s="320"/>
      <c r="I160" s="320"/>
      <c r="J160" s="320"/>
      <c r="K160" s="320"/>
      <c r="L160" s="311"/>
      <c r="M160" s="311"/>
      <c r="N160" s="293"/>
      <c r="P160" s="289"/>
    </row>
    <row r="161" spans="2:16" s="318" customFormat="1" ht="14.4" thickBot="1" x14ac:dyDescent="0.35">
      <c r="B161" s="940"/>
      <c r="C161" s="941"/>
      <c r="D161" s="942"/>
      <c r="E161" s="943"/>
      <c r="F161" s="943"/>
      <c r="G161" s="943"/>
      <c r="H161" s="943"/>
      <c r="I161" s="943"/>
      <c r="J161" s="943"/>
      <c r="K161" s="943">
        <f>K160</f>
        <v>0</v>
      </c>
      <c r="L161" s="943">
        <f>L160</f>
        <v>0</v>
      </c>
      <c r="M161" s="943">
        <f>M160</f>
        <v>0</v>
      </c>
      <c r="N161" s="317"/>
    </row>
    <row r="162" spans="2:16" ht="14.4" thickBot="1" x14ac:dyDescent="0.35">
      <c r="B162" s="329">
        <v>6</v>
      </c>
      <c r="C162" s="330" t="s">
        <v>25</v>
      </c>
      <c r="D162" s="330"/>
      <c r="E162" s="330"/>
      <c r="F162" s="331"/>
      <c r="G162" s="331"/>
      <c r="H162" s="331"/>
      <c r="I162" s="331"/>
      <c r="J162" s="330"/>
      <c r="K162" s="330"/>
      <c r="L162" s="330"/>
      <c r="M162" s="330"/>
      <c r="N162" s="293"/>
    </row>
    <row r="163" spans="2:16" ht="14.4" thickBot="1" x14ac:dyDescent="0.35">
      <c r="B163" s="307">
        <v>6.1</v>
      </c>
      <c r="C163" s="308" t="s">
        <v>26</v>
      </c>
      <c r="D163" s="319"/>
      <c r="E163" s="332"/>
      <c r="F163" s="310">
        <f>'13. Detailed AAP '!J345</f>
        <v>2225000</v>
      </c>
      <c r="G163" s="320">
        <f>F163/1.82912206116649</f>
        <v>1216430.5746665401</v>
      </c>
      <c r="H163" s="320">
        <f>G163*0.414561030583245</f>
        <v>504284.71266672981</v>
      </c>
      <c r="I163" s="320">
        <f>H163</f>
        <v>504284.71266672981</v>
      </c>
      <c r="J163" s="311"/>
      <c r="K163" s="311"/>
      <c r="L163" s="311"/>
      <c r="M163" s="311"/>
      <c r="N163" s="293"/>
    </row>
    <row r="164" spans="2:16" ht="14.4" thickBot="1" x14ac:dyDescent="0.35">
      <c r="B164" s="307">
        <v>6.2</v>
      </c>
      <c r="C164" s="308" t="s">
        <v>29</v>
      </c>
      <c r="D164" s="319"/>
      <c r="E164" s="332"/>
      <c r="F164" s="310">
        <f>'13. Detailed AAP '!J346</f>
        <v>2815160.02</v>
      </c>
      <c r="G164" s="320">
        <f>F164/1.82912206116649</f>
        <v>1539077.1779356715</v>
      </c>
      <c r="H164" s="320">
        <f>G164*0.414561030583245</f>
        <v>638041.42103216436</v>
      </c>
      <c r="I164" s="320">
        <f>H164</f>
        <v>638041.42103216436</v>
      </c>
      <c r="J164" s="311"/>
      <c r="K164" s="311"/>
      <c r="L164" s="311"/>
      <c r="M164" s="311"/>
      <c r="N164" s="293"/>
    </row>
    <row r="165" spans="2:16" ht="14.4" thickBot="1" x14ac:dyDescent="0.35">
      <c r="B165" s="330"/>
      <c r="C165" s="330" t="s">
        <v>25</v>
      </c>
      <c r="D165" s="330"/>
      <c r="E165" s="330"/>
      <c r="F165" s="418">
        <f>F163+F164</f>
        <v>5040160.0199999996</v>
      </c>
      <c r="G165" s="418">
        <f>G163+G164</f>
        <v>2755507.7526022117</v>
      </c>
      <c r="H165" s="418">
        <f>H163+H164</f>
        <v>1142326.1336988942</v>
      </c>
      <c r="I165" s="418">
        <f>I163+I164</f>
        <v>1142326.1336988942</v>
      </c>
      <c r="J165" s="330"/>
      <c r="K165" s="330"/>
      <c r="L165" s="330"/>
      <c r="M165" s="330"/>
      <c r="N165" s="293"/>
    </row>
    <row r="166" spans="2:16" s="101" customFormat="1" ht="15" thickBot="1" x14ac:dyDescent="0.35">
      <c r="B166" s="335"/>
      <c r="C166" s="336" t="s">
        <v>338</v>
      </c>
      <c r="D166" s="336"/>
      <c r="E166" s="337"/>
      <c r="F166" s="337">
        <f t="shared" ref="F166:L166" si="36">F89+F135+F144+F157+F165</f>
        <v>201800326.84</v>
      </c>
      <c r="G166" s="337">
        <f t="shared" si="36"/>
        <v>72365702.005467102</v>
      </c>
      <c r="H166" s="337">
        <f t="shared" si="36"/>
        <v>30000000.002266444</v>
      </c>
      <c r="I166" s="337">
        <f t="shared" si="36"/>
        <v>30000000.002266444</v>
      </c>
      <c r="J166" s="337">
        <f t="shared" si="36"/>
        <v>14085000</v>
      </c>
      <c r="K166" s="337">
        <f t="shared" si="36"/>
        <v>13448892</v>
      </c>
      <c r="L166" s="337">
        <f t="shared" si="36"/>
        <v>41900732.829999998</v>
      </c>
      <c r="M166" s="337">
        <v>0</v>
      </c>
      <c r="N166" s="419"/>
      <c r="P166" s="926"/>
    </row>
    <row r="168" spans="2:16" x14ac:dyDescent="0.3">
      <c r="F168" s="420"/>
      <c r="G168" s="533">
        <f>G166+H166+I166</f>
        <v>132365702.00999999</v>
      </c>
      <c r="I168" s="534">
        <f>G168+L166</f>
        <v>174266434.83999997</v>
      </c>
    </row>
    <row r="169" spans="2:16" x14ac:dyDescent="0.3">
      <c r="G169" s="534"/>
    </row>
    <row r="170" spans="2:16" x14ac:dyDescent="0.3">
      <c r="F170" s="290">
        <f>F166+612642.26</f>
        <v>202412969.09999999</v>
      </c>
      <c r="L170" s="534">
        <f>G168+J166+K166+L166</f>
        <v>201800326.83999997</v>
      </c>
    </row>
    <row r="171" spans="2:16" ht="14.4" thickBot="1" x14ac:dyDescent="0.35">
      <c r="C171" s="289">
        <v>2755507.75</v>
      </c>
      <c r="E171" s="289"/>
      <c r="F171" s="289"/>
      <c r="G171" s="871">
        <v>882100.33</v>
      </c>
      <c r="I171" s="534">
        <f>G166+H166+I166+J166+K166+L166</f>
        <v>201800326.83999997</v>
      </c>
      <c r="P171" s="289"/>
    </row>
    <row r="172" spans="2:16" ht="14.4" thickBot="1" x14ac:dyDescent="0.35">
      <c r="C172" s="289">
        <v>69610194.25</v>
      </c>
      <c r="E172" s="289"/>
      <c r="F172" s="289">
        <v>1.82912206116649</v>
      </c>
      <c r="G172" s="872">
        <v>3117899.33</v>
      </c>
      <c r="I172" s="534">
        <f>J166+K166</f>
        <v>27533892</v>
      </c>
      <c r="L172" s="289">
        <v>612642.26</v>
      </c>
      <c r="P172" s="289"/>
    </row>
    <row r="173" spans="2:16" ht="14.4" thickBot="1" x14ac:dyDescent="0.35">
      <c r="C173" s="289">
        <f>C171+C172</f>
        <v>72365702</v>
      </c>
      <c r="E173" s="289"/>
      <c r="F173" s="289">
        <v>0.414561030583245</v>
      </c>
      <c r="G173" s="873">
        <f>G171+G172</f>
        <v>3999999.66</v>
      </c>
      <c r="I173" s="534">
        <f>I171-I172</f>
        <v>174266434.83999997</v>
      </c>
      <c r="L173" s="534">
        <f>L166+L172</f>
        <v>42513375.089999996</v>
      </c>
      <c r="P173" s="289"/>
    </row>
    <row r="175" spans="2:16" x14ac:dyDescent="0.3">
      <c r="H175" s="289">
        <v>132365702</v>
      </c>
    </row>
    <row r="176" spans="2:16" x14ac:dyDescent="0.3">
      <c r="F176" s="290">
        <v>72365702</v>
      </c>
      <c r="H176" s="289">
        <v>3000000</v>
      </c>
    </row>
    <row r="177" spans="5:16" x14ac:dyDescent="0.3">
      <c r="F177" s="290">
        <v>30000000</v>
      </c>
      <c r="H177" s="289">
        <v>3000000</v>
      </c>
    </row>
    <row r="178" spans="5:16" x14ac:dyDescent="0.3">
      <c r="E178" s="289"/>
      <c r="F178" s="290">
        <v>30000000</v>
      </c>
      <c r="P178" s="289"/>
    </row>
    <row r="179" spans="5:16" x14ac:dyDescent="0.3">
      <c r="E179" s="289"/>
      <c r="F179" s="290">
        <f>F176+F177+F178</f>
        <v>132365702</v>
      </c>
      <c r="G179" s="289">
        <v>30000000</v>
      </c>
      <c r="P179" s="289"/>
    </row>
    <row r="180" spans="5:16" x14ac:dyDescent="0.3">
      <c r="E180" s="289"/>
      <c r="G180" s="289">
        <v>72365702</v>
      </c>
      <c r="I180" s="289">
        <v>1.82912206116649</v>
      </c>
      <c r="J180" s="289">
        <v>0.414561030583245</v>
      </c>
      <c r="P180" s="289"/>
    </row>
    <row r="181" spans="5:16" x14ac:dyDescent="0.3">
      <c r="E181" s="289"/>
      <c r="G181" s="289">
        <f>G179/G180</f>
        <v>0.41456103058324506</v>
      </c>
      <c r="J181" s="289">
        <f>J180*2</f>
        <v>0.82912206116649001</v>
      </c>
      <c r="P181" s="289"/>
    </row>
    <row r="182" spans="5:16" x14ac:dyDescent="0.3">
      <c r="E182" s="289"/>
      <c r="J182" s="289">
        <f>1+J181</f>
        <v>1.82912206116649</v>
      </c>
      <c r="P182" s="289"/>
    </row>
  </sheetData>
  <mergeCells count="17">
    <mergeCell ref="M3:M4"/>
    <mergeCell ref="B5:M5"/>
    <mergeCell ref="B2:B4"/>
    <mergeCell ref="C2:C4"/>
    <mergeCell ref="D2:D4"/>
    <mergeCell ref="E2:E4"/>
    <mergeCell ref="G2:L2"/>
    <mergeCell ref="G3:G4"/>
    <mergeCell ref="H3:H4"/>
    <mergeCell ref="I3:I4"/>
    <mergeCell ref="J3:J4"/>
    <mergeCell ref="L3:L4"/>
    <mergeCell ref="B158:B159"/>
    <mergeCell ref="C158:C159"/>
    <mergeCell ref="K3:K4"/>
    <mergeCell ref="C90:F90"/>
    <mergeCell ref="C135:E13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6"/>
  <sheetViews>
    <sheetView workbookViewId="0">
      <pane xSplit="11" ySplit="5" topLeftCell="L189" activePane="bottomRight" state="frozenSplit"/>
      <selection activeCell="N111" sqref="N111"/>
      <selection pane="topRight" activeCell="I1" sqref="I1"/>
      <selection pane="bottomLeft" activeCell="A15" sqref="A15"/>
      <selection pane="bottomRight" activeCell="M316" sqref="M316"/>
    </sheetView>
  </sheetViews>
  <sheetFormatPr defaultColWidth="9.109375" defaultRowHeight="14.4" x14ac:dyDescent="0.3"/>
  <cols>
    <col min="1" max="1" width="9.109375" style="289"/>
    <col min="2" max="2" width="5.5546875" style="289" customWidth="1"/>
    <col min="3" max="3" width="31.21875" style="293" customWidth="1"/>
    <col min="4" max="4" width="8.33203125" style="190" customWidth="1"/>
    <col min="5" max="5" width="8.88671875" style="191" customWidth="1"/>
    <col min="6" max="6" width="14.88671875" style="815" customWidth="1"/>
    <col min="7" max="7" width="14.33203125" style="754" bestFit="1" customWidth="1"/>
    <col min="8" max="8" width="14.33203125" style="754" customWidth="1"/>
    <col min="9" max="9" width="14.6640625" style="799" customWidth="1"/>
    <col min="10" max="10" width="17" style="290" customWidth="1"/>
    <col min="11" max="11" width="8.77734375" style="763" customWidth="1"/>
    <col min="12" max="12" width="9.109375" style="289"/>
    <col min="13" max="13" width="15.5546875" style="289" customWidth="1"/>
    <col min="14" max="16384" width="9.109375" style="289"/>
  </cols>
  <sheetData>
    <row r="2" spans="2:12" ht="15.6" x14ac:dyDescent="0.3">
      <c r="B2" s="2117" t="s">
        <v>798</v>
      </c>
      <c r="C2" s="2118"/>
      <c r="D2" s="2118"/>
      <c r="E2" s="2118"/>
      <c r="F2" s="2118"/>
      <c r="G2" s="2118"/>
      <c r="H2" s="2118"/>
      <c r="I2" s="2118"/>
      <c r="J2" s="2118"/>
      <c r="K2" s="2118"/>
      <c r="L2" s="293"/>
    </row>
    <row r="3" spans="2:12" ht="26.4" customHeight="1" x14ac:dyDescent="0.3">
      <c r="B3" s="2119" t="s">
        <v>12</v>
      </c>
      <c r="C3" s="2120" t="s">
        <v>13</v>
      </c>
      <c r="D3" s="2121" t="s">
        <v>14</v>
      </c>
      <c r="E3" s="2134" t="s">
        <v>568</v>
      </c>
      <c r="F3" s="2123" t="s">
        <v>15</v>
      </c>
      <c r="G3" s="2123"/>
      <c r="H3" s="2123"/>
      <c r="I3" s="2123"/>
      <c r="J3" s="2125" t="s">
        <v>16</v>
      </c>
      <c r="K3" s="2122" t="s">
        <v>17</v>
      </c>
      <c r="L3" s="293"/>
    </row>
    <row r="4" spans="2:12" ht="14.4" customHeight="1" x14ac:dyDescent="0.3">
      <c r="B4" s="2119"/>
      <c r="C4" s="2120"/>
      <c r="D4" s="2121"/>
      <c r="E4" s="2134"/>
      <c r="F4" s="816" t="s">
        <v>18</v>
      </c>
      <c r="G4" s="739" t="s">
        <v>19</v>
      </c>
      <c r="H4" s="739" t="s">
        <v>20</v>
      </c>
      <c r="I4" s="1611" t="s">
        <v>21</v>
      </c>
      <c r="J4" s="2125"/>
      <c r="K4" s="2122"/>
      <c r="L4" s="293"/>
    </row>
    <row r="5" spans="2:12" ht="15.6" x14ac:dyDescent="0.3">
      <c r="B5" s="740"/>
      <c r="C5" s="957"/>
      <c r="D5" s="999"/>
      <c r="E5" s="2134"/>
      <c r="F5" s="2124" t="s">
        <v>298</v>
      </c>
      <c r="G5" s="2124"/>
      <c r="H5" s="2124"/>
      <c r="I5" s="2124"/>
      <c r="J5" s="2125"/>
      <c r="K5" s="2122"/>
      <c r="L5" s="293"/>
    </row>
    <row r="6" spans="2:12" ht="14.4" customHeight="1" x14ac:dyDescent="0.3">
      <c r="B6" s="2126" t="s">
        <v>258</v>
      </c>
      <c r="C6" s="2127"/>
      <c r="D6" s="2127"/>
      <c r="E6" s="2127"/>
      <c r="F6" s="2127"/>
      <c r="G6" s="2127"/>
      <c r="H6" s="2127"/>
      <c r="I6" s="2127"/>
      <c r="J6" s="2127"/>
      <c r="K6" s="2127"/>
      <c r="L6" s="293"/>
    </row>
    <row r="7" spans="2:12" ht="15" thickBot="1" x14ac:dyDescent="0.35">
      <c r="B7" s="296" t="s">
        <v>1</v>
      </c>
      <c r="C7" s="958" t="s">
        <v>159</v>
      </c>
      <c r="D7" s="1000"/>
      <c r="E7" s="1027"/>
      <c r="F7" s="817"/>
      <c r="G7" s="744"/>
      <c r="H7" s="744"/>
      <c r="I7" s="800"/>
      <c r="J7" s="299"/>
      <c r="K7" s="764"/>
      <c r="L7" s="293"/>
    </row>
    <row r="8" spans="2:12" ht="15" thickBot="1" x14ac:dyDescent="0.35">
      <c r="B8" s="296"/>
      <c r="C8" s="959" t="s">
        <v>287</v>
      </c>
      <c r="D8" s="1000"/>
      <c r="E8" s="1027"/>
      <c r="F8" s="817"/>
      <c r="G8" s="744"/>
      <c r="H8" s="744"/>
      <c r="I8" s="800"/>
      <c r="J8" s="299"/>
      <c r="K8" s="764"/>
      <c r="L8" s="293"/>
    </row>
    <row r="9" spans="2:12" ht="14.4" customHeight="1" thickBot="1" x14ac:dyDescent="0.35">
      <c r="B9" s="302" t="s">
        <v>141</v>
      </c>
      <c r="C9" s="960" t="s">
        <v>288</v>
      </c>
      <c r="D9" s="1001"/>
      <c r="E9" s="1028"/>
      <c r="F9" s="818"/>
      <c r="G9" s="745"/>
      <c r="H9" s="745"/>
      <c r="I9" s="801"/>
      <c r="J9" s="305"/>
      <c r="K9" s="765"/>
      <c r="L9" s="293"/>
    </row>
    <row r="10" spans="2:12" ht="15" thickBot="1" x14ac:dyDescent="0.35">
      <c r="B10" s="307">
        <v>1</v>
      </c>
      <c r="C10" s="961" t="s">
        <v>173</v>
      </c>
      <c r="D10" s="1002"/>
      <c r="E10" s="1029"/>
      <c r="F10" s="323"/>
      <c r="G10" s="746"/>
      <c r="H10" s="746"/>
      <c r="I10" s="802"/>
      <c r="J10" s="310"/>
      <c r="K10" s="766"/>
      <c r="L10" s="293"/>
    </row>
    <row r="11" spans="2:12" ht="15" thickBot="1" x14ac:dyDescent="0.35">
      <c r="B11" s="312">
        <v>1.1000000000000001</v>
      </c>
      <c r="C11" s="962" t="s">
        <v>129</v>
      </c>
      <c r="D11" s="995"/>
      <c r="E11" s="1030"/>
      <c r="F11" s="819"/>
      <c r="G11" s="995"/>
      <c r="H11" s="995"/>
      <c r="I11" s="996"/>
      <c r="J11" s="315"/>
      <c r="K11" s="767"/>
      <c r="L11" s="293"/>
    </row>
    <row r="12" spans="2:12" ht="15" customHeight="1" thickBot="1" x14ac:dyDescent="0.35">
      <c r="B12" s="2079" t="s">
        <v>174</v>
      </c>
      <c r="C12" s="2131" t="s">
        <v>706</v>
      </c>
      <c r="D12" s="2085" t="s">
        <v>22</v>
      </c>
      <c r="E12" s="1254" t="s">
        <v>10</v>
      </c>
      <c r="F12" s="1255"/>
      <c r="G12" s="1256">
        <f>J12*0.25</f>
        <v>637</v>
      </c>
      <c r="H12" s="1256">
        <f>J12*0.5</f>
        <v>1274</v>
      </c>
      <c r="I12" s="1257">
        <f>J12*0.25</f>
        <v>637</v>
      </c>
      <c r="J12" s="1258">
        <f>'16. APP UIIDP'!D15</f>
        <v>2548</v>
      </c>
      <c r="K12" s="767"/>
      <c r="L12" s="1985"/>
    </row>
    <row r="13" spans="2:12" ht="15" customHeight="1" thickBot="1" x14ac:dyDescent="0.35">
      <c r="B13" s="2080"/>
      <c r="C13" s="2132"/>
      <c r="D13" s="2085"/>
      <c r="E13" s="1031" t="s">
        <v>11</v>
      </c>
      <c r="F13" s="833"/>
      <c r="G13" s="1109">
        <f t="shared" ref="G13:G101" si="0">J13*0.25</f>
        <v>9.0999999999999998E-2</v>
      </c>
      <c r="H13" s="1109">
        <f t="shared" ref="H13:H101" si="1">J13*0.5</f>
        <v>0.182</v>
      </c>
      <c r="I13" s="1110">
        <f t="shared" ref="I13:I101" si="2">J13*0.25</f>
        <v>9.0999999999999998E-2</v>
      </c>
      <c r="J13" s="1111">
        <f>J12/7000</f>
        <v>0.36399999999999999</v>
      </c>
      <c r="K13" s="767"/>
      <c r="L13" s="1985"/>
    </row>
    <row r="14" spans="2:12" ht="15" customHeight="1" thickBot="1" x14ac:dyDescent="0.35">
      <c r="B14" s="2081"/>
      <c r="C14" s="2133"/>
      <c r="D14" s="2085"/>
      <c r="E14" s="1031" t="s">
        <v>23</v>
      </c>
      <c r="F14" s="833"/>
      <c r="G14" s="997">
        <f t="shared" si="0"/>
        <v>852264.17249999999</v>
      </c>
      <c r="H14" s="997">
        <f t="shared" si="1"/>
        <v>1704528.345</v>
      </c>
      <c r="I14" s="996">
        <f t="shared" si="2"/>
        <v>852264.17249999999</v>
      </c>
      <c r="J14" s="310">
        <f>'16. APP UIIDP'!H14</f>
        <v>3409056.69</v>
      </c>
      <c r="K14" s="768"/>
      <c r="L14" s="1985"/>
    </row>
    <row r="15" spans="2:12" ht="15" customHeight="1" thickBot="1" x14ac:dyDescent="0.35">
      <c r="B15" s="2079" t="s">
        <v>176</v>
      </c>
      <c r="C15" s="2131" t="s">
        <v>803</v>
      </c>
      <c r="D15" s="2085" t="s">
        <v>22</v>
      </c>
      <c r="E15" s="1254" t="s">
        <v>10</v>
      </c>
      <c r="F15" s="1255"/>
      <c r="G15" s="1256">
        <f t="shared" si="0"/>
        <v>367.5</v>
      </c>
      <c r="H15" s="1256">
        <f t="shared" si="1"/>
        <v>735</v>
      </c>
      <c r="I15" s="1257">
        <f t="shared" si="2"/>
        <v>367.5</v>
      </c>
      <c r="J15" s="1258">
        <f>'16. APP UIIDP'!D18</f>
        <v>1470</v>
      </c>
      <c r="K15" s="767"/>
      <c r="L15" s="1985"/>
    </row>
    <row r="16" spans="2:12" ht="15" customHeight="1" thickBot="1" x14ac:dyDescent="0.35">
      <c r="B16" s="2080"/>
      <c r="C16" s="2132"/>
      <c r="D16" s="2085"/>
      <c r="E16" s="1031" t="s">
        <v>11</v>
      </c>
      <c r="F16" s="833"/>
      <c r="G16" s="1109">
        <f t="shared" si="0"/>
        <v>5.2499999999999998E-2</v>
      </c>
      <c r="H16" s="1109">
        <f t="shared" si="1"/>
        <v>0.105</v>
      </c>
      <c r="I16" s="1110">
        <f t="shared" si="2"/>
        <v>5.2499999999999998E-2</v>
      </c>
      <c r="J16" s="1111">
        <f>J15/7000</f>
        <v>0.21</v>
      </c>
      <c r="K16" s="767"/>
      <c r="L16" s="1985"/>
    </row>
    <row r="17" spans="2:12" ht="15" customHeight="1" thickBot="1" x14ac:dyDescent="0.35">
      <c r="B17" s="2081"/>
      <c r="C17" s="2133"/>
      <c r="D17" s="2085"/>
      <c r="E17" s="1031" t="s">
        <v>23</v>
      </c>
      <c r="F17" s="833"/>
      <c r="G17" s="997">
        <f t="shared" si="0"/>
        <v>539666.745</v>
      </c>
      <c r="H17" s="997">
        <f t="shared" si="1"/>
        <v>1079333.49</v>
      </c>
      <c r="I17" s="996">
        <f t="shared" si="2"/>
        <v>539666.745</v>
      </c>
      <c r="J17" s="310">
        <f>'16. APP UIIDP'!H17</f>
        <v>2158666.98</v>
      </c>
      <c r="K17" s="768"/>
      <c r="L17" s="1985"/>
    </row>
    <row r="18" spans="2:12" ht="15" customHeight="1" thickBot="1" x14ac:dyDescent="0.35">
      <c r="B18" s="2079" t="s">
        <v>259</v>
      </c>
      <c r="C18" s="2131" t="s">
        <v>802</v>
      </c>
      <c r="D18" s="2085" t="s">
        <v>22</v>
      </c>
      <c r="E18" s="1254" t="s">
        <v>10</v>
      </c>
      <c r="F18" s="1255"/>
      <c r="G18" s="1256">
        <f>J18*0.25</f>
        <v>367.5</v>
      </c>
      <c r="H18" s="1256">
        <f>J18*0.5</f>
        <v>735</v>
      </c>
      <c r="I18" s="1257">
        <f>J18*0.25</f>
        <v>367.5</v>
      </c>
      <c r="J18" s="1258">
        <f>'16. APP UIIDP'!D21</f>
        <v>1470</v>
      </c>
      <c r="K18" s="767"/>
      <c r="L18" s="1985"/>
    </row>
    <row r="19" spans="2:12" ht="15" customHeight="1" thickBot="1" x14ac:dyDescent="0.35">
      <c r="B19" s="2080"/>
      <c r="C19" s="2132"/>
      <c r="D19" s="2085"/>
      <c r="E19" s="1031" t="s">
        <v>11</v>
      </c>
      <c r="F19" s="833"/>
      <c r="G19" s="1109">
        <f>J19*0.25</f>
        <v>5.2499999999999998E-2</v>
      </c>
      <c r="H19" s="1109">
        <f>J19*0.5</f>
        <v>0.105</v>
      </c>
      <c r="I19" s="1110">
        <f>J19*0.25</f>
        <v>5.2499999999999998E-2</v>
      </c>
      <c r="J19" s="1111">
        <f>J18/7000</f>
        <v>0.21</v>
      </c>
      <c r="K19" s="767"/>
      <c r="L19" s="1985"/>
    </row>
    <row r="20" spans="2:12" ht="15" customHeight="1" thickBot="1" x14ac:dyDescent="0.35">
      <c r="B20" s="2081"/>
      <c r="C20" s="2133"/>
      <c r="D20" s="2085"/>
      <c r="E20" s="1031" t="s">
        <v>23</v>
      </c>
      <c r="F20" s="833"/>
      <c r="G20" s="997">
        <f>J20*0.25</f>
        <v>477475.40250000003</v>
      </c>
      <c r="H20" s="997">
        <f>J20*0.5</f>
        <v>954950.80500000005</v>
      </c>
      <c r="I20" s="996">
        <f>J20*0.25</f>
        <v>477475.40250000003</v>
      </c>
      <c r="J20" s="310">
        <f>'16. APP UIIDP'!H20</f>
        <v>1909901.61</v>
      </c>
      <c r="K20" s="768"/>
      <c r="L20" s="1985"/>
    </row>
    <row r="21" spans="2:12" ht="15" customHeight="1" thickBot="1" x14ac:dyDescent="0.35">
      <c r="B21" s="2079" t="s">
        <v>261</v>
      </c>
      <c r="C21" s="2128" t="s">
        <v>708</v>
      </c>
      <c r="D21" s="2085" t="s">
        <v>22</v>
      </c>
      <c r="E21" s="1254" t="s">
        <v>10</v>
      </c>
      <c r="F21" s="1255"/>
      <c r="G21" s="1256">
        <f t="shared" si="0"/>
        <v>577.5</v>
      </c>
      <c r="H21" s="1256">
        <f t="shared" si="1"/>
        <v>1155</v>
      </c>
      <c r="I21" s="1257">
        <f t="shared" si="2"/>
        <v>577.5</v>
      </c>
      <c r="J21" s="1258">
        <f>'16. APP UIIDP'!D24</f>
        <v>2310</v>
      </c>
      <c r="K21" s="768"/>
      <c r="L21" s="1985"/>
    </row>
    <row r="22" spans="2:12" ht="15" customHeight="1" thickBot="1" x14ac:dyDescent="0.35">
      <c r="B22" s="2080"/>
      <c r="C22" s="2129"/>
      <c r="D22" s="2085"/>
      <c r="E22" s="1031" t="s">
        <v>11</v>
      </c>
      <c r="F22" s="833"/>
      <c r="G22" s="1109">
        <f t="shared" si="0"/>
        <v>8.2500000000000004E-2</v>
      </c>
      <c r="H22" s="1109">
        <f t="shared" si="1"/>
        <v>0.16500000000000001</v>
      </c>
      <c r="I22" s="1110">
        <f t="shared" si="2"/>
        <v>8.2500000000000004E-2</v>
      </c>
      <c r="J22" s="1112">
        <f>J21/7000</f>
        <v>0.33</v>
      </c>
      <c r="K22" s="768"/>
      <c r="L22" s="1985"/>
    </row>
    <row r="23" spans="2:12" ht="15" customHeight="1" thickBot="1" x14ac:dyDescent="0.35">
      <c r="B23" s="2081"/>
      <c r="C23" s="2130"/>
      <c r="D23" s="2085"/>
      <c r="E23" s="1031" t="s">
        <v>23</v>
      </c>
      <c r="F23" s="833"/>
      <c r="G23" s="997">
        <f t="shared" si="0"/>
        <v>740555.08499999996</v>
      </c>
      <c r="H23" s="997">
        <f t="shared" si="1"/>
        <v>1481110.17</v>
      </c>
      <c r="I23" s="996">
        <f t="shared" si="2"/>
        <v>740555.08499999996</v>
      </c>
      <c r="J23" s="310">
        <f>'16. APP UIIDP'!H23</f>
        <v>2962220.34</v>
      </c>
      <c r="K23" s="768"/>
      <c r="L23" s="1985"/>
    </row>
    <row r="24" spans="2:12" ht="15" customHeight="1" thickBot="1" x14ac:dyDescent="0.35">
      <c r="B24" s="2079" t="s">
        <v>262</v>
      </c>
      <c r="C24" s="2128" t="s">
        <v>709</v>
      </c>
      <c r="D24" s="2085" t="s">
        <v>22</v>
      </c>
      <c r="E24" s="1254" t="s">
        <v>10</v>
      </c>
      <c r="F24" s="1255"/>
      <c r="G24" s="1256">
        <f t="shared" si="0"/>
        <v>577.5</v>
      </c>
      <c r="H24" s="1256">
        <f t="shared" si="1"/>
        <v>1155</v>
      </c>
      <c r="I24" s="1257">
        <f t="shared" si="2"/>
        <v>577.5</v>
      </c>
      <c r="J24" s="1258">
        <f>'16. APP UIIDP'!D27</f>
        <v>2310</v>
      </c>
      <c r="K24" s="768"/>
      <c r="L24" s="1985"/>
    </row>
    <row r="25" spans="2:12" ht="15" customHeight="1" thickBot="1" x14ac:dyDescent="0.35">
      <c r="B25" s="2080"/>
      <c r="C25" s="2129"/>
      <c r="D25" s="2085"/>
      <c r="E25" s="1031" t="s">
        <v>11</v>
      </c>
      <c r="F25" s="833"/>
      <c r="G25" s="1109">
        <f t="shared" si="0"/>
        <v>8.2500000000000004E-2</v>
      </c>
      <c r="H25" s="1109">
        <f t="shared" si="1"/>
        <v>0.16500000000000001</v>
      </c>
      <c r="I25" s="1110">
        <f t="shared" si="2"/>
        <v>8.2500000000000004E-2</v>
      </c>
      <c r="J25" s="1112">
        <f>J24/7000</f>
        <v>0.33</v>
      </c>
      <c r="K25" s="768"/>
      <c r="L25" s="1985"/>
    </row>
    <row r="26" spans="2:12" ht="16.2" customHeight="1" thickBot="1" x14ac:dyDescent="0.35">
      <c r="B26" s="2081"/>
      <c r="C26" s="2130"/>
      <c r="D26" s="2085"/>
      <c r="E26" s="1031" t="s">
        <v>23</v>
      </c>
      <c r="F26" s="833"/>
      <c r="G26" s="997">
        <f t="shared" si="0"/>
        <v>676836.29249999998</v>
      </c>
      <c r="H26" s="997">
        <f t="shared" si="1"/>
        <v>1353672.585</v>
      </c>
      <c r="I26" s="996">
        <f t="shared" si="2"/>
        <v>676836.29249999998</v>
      </c>
      <c r="J26" s="310">
        <f>'16. APP UIIDP'!H26</f>
        <v>2707345.17</v>
      </c>
      <c r="K26" s="768"/>
      <c r="L26" s="1985"/>
    </row>
    <row r="27" spans="2:12" ht="14.4" customHeight="1" thickBot="1" x14ac:dyDescent="0.35">
      <c r="B27" s="2079" t="s">
        <v>263</v>
      </c>
      <c r="C27" s="2128" t="s">
        <v>710</v>
      </c>
      <c r="D27" s="2085" t="s">
        <v>22</v>
      </c>
      <c r="E27" s="1254" t="s">
        <v>10</v>
      </c>
      <c r="F27" s="1255"/>
      <c r="G27" s="1256">
        <f t="shared" si="0"/>
        <v>595</v>
      </c>
      <c r="H27" s="1256">
        <f t="shared" si="1"/>
        <v>1190</v>
      </c>
      <c r="I27" s="1257">
        <f t="shared" si="2"/>
        <v>595</v>
      </c>
      <c r="J27" s="1258">
        <f>'16. APP UIIDP'!D30</f>
        <v>2380</v>
      </c>
      <c r="K27" s="768"/>
      <c r="L27" s="1985"/>
    </row>
    <row r="28" spans="2:12" ht="14.4" customHeight="1" thickBot="1" x14ac:dyDescent="0.35">
      <c r="B28" s="2080"/>
      <c r="C28" s="2129"/>
      <c r="D28" s="2085"/>
      <c r="E28" s="1031" t="s">
        <v>11</v>
      </c>
      <c r="F28" s="833"/>
      <c r="G28" s="1109">
        <f t="shared" si="0"/>
        <v>8.5000000000000006E-2</v>
      </c>
      <c r="H28" s="1109">
        <f t="shared" si="1"/>
        <v>0.17</v>
      </c>
      <c r="I28" s="1110">
        <f t="shared" si="2"/>
        <v>8.5000000000000006E-2</v>
      </c>
      <c r="J28" s="1112">
        <f>J27/7000</f>
        <v>0.34</v>
      </c>
      <c r="K28" s="768"/>
      <c r="L28" s="1985"/>
    </row>
    <row r="29" spans="2:12" ht="15" customHeight="1" thickBot="1" x14ac:dyDescent="0.35">
      <c r="B29" s="2081"/>
      <c r="C29" s="2130"/>
      <c r="D29" s="2085"/>
      <c r="E29" s="1031" t="s">
        <v>23</v>
      </c>
      <c r="F29" s="833"/>
      <c r="G29" s="997">
        <f t="shared" si="0"/>
        <v>768002.33499999996</v>
      </c>
      <c r="H29" s="997">
        <f t="shared" si="1"/>
        <v>1536004.67</v>
      </c>
      <c r="I29" s="996">
        <f t="shared" si="2"/>
        <v>768002.33499999996</v>
      </c>
      <c r="J29" s="310">
        <f>'16. APP UIIDP'!H29</f>
        <v>3072009.34</v>
      </c>
      <c r="K29" s="768"/>
      <c r="L29" s="1985"/>
    </row>
    <row r="30" spans="2:12" ht="15" customHeight="1" thickBot="1" x14ac:dyDescent="0.35">
      <c r="B30" s="2079" t="s">
        <v>264</v>
      </c>
      <c r="C30" s="2135" t="s">
        <v>711</v>
      </c>
      <c r="D30" s="2085" t="s">
        <v>22</v>
      </c>
      <c r="E30" s="1254" t="s">
        <v>10</v>
      </c>
      <c r="F30" s="1255"/>
      <c r="G30" s="1256">
        <f t="shared" si="0"/>
        <v>656.25</v>
      </c>
      <c r="H30" s="1256">
        <f t="shared" si="1"/>
        <v>1312.5</v>
      </c>
      <c r="I30" s="1257">
        <f t="shared" si="2"/>
        <v>656.25</v>
      </c>
      <c r="J30" s="1258">
        <f>'16. APP UIIDP'!D33</f>
        <v>2625</v>
      </c>
      <c r="K30" s="768"/>
      <c r="L30" s="1985"/>
    </row>
    <row r="31" spans="2:12" ht="15" customHeight="1" thickBot="1" x14ac:dyDescent="0.35">
      <c r="B31" s="2080"/>
      <c r="C31" s="2136"/>
      <c r="D31" s="2085"/>
      <c r="E31" s="1031" t="s">
        <v>11</v>
      </c>
      <c r="F31" s="833"/>
      <c r="G31" s="1109">
        <f t="shared" si="0"/>
        <v>9.375E-2</v>
      </c>
      <c r="H31" s="1109">
        <f t="shared" si="1"/>
        <v>0.1875</v>
      </c>
      <c r="I31" s="1110">
        <f t="shared" si="2"/>
        <v>9.375E-2</v>
      </c>
      <c r="J31" s="1112">
        <f>J30/7000</f>
        <v>0.375</v>
      </c>
      <c r="K31" s="768"/>
      <c r="L31" s="1985"/>
    </row>
    <row r="32" spans="2:12" ht="15" customHeight="1" thickBot="1" x14ac:dyDescent="0.35">
      <c r="B32" s="2081"/>
      <c r="C32" s="2137"/>
      <c r="D32" s="2085"/>
      <c r="E32" s="1031" t="s">
        <v>23</v>
      </c>
      <c r="F32" s="833"/>
      <c r="G32" s="997">
        <f t="shared" si="0"/>
        <v>821455.04</v>
      </c>
      <c r="H32" s="997">
        <f t="shared" si="1"/>
        <v>1642910.08</v>
      </c>
      <c r="I32" s="996">
        <f t="shared" si="2"/>
        <v>821455.04</v>
      </c>
      <c r="J32" s="310">
        <f>'16. APP UIIDP'!H32</f>
        <v>3285820.16</v>
      </c>
      <c r="K32" s="768"/>
      <c r="L32" s="1985"/>
    </row>
    <row r="33" spans="2:12" ht="15" customHeight="1" thickBot="1" x14ac:dyDescent="0.35">
      <c r="B33" s="2079" t="s">
        <v>265</v>
      </c>
      <c r="C33" s="2128" t="s">
        <v>712</v>
      </c>
      <c r="D33" s="2085" t="s">
        <v>22</v>
      </c>
      <c r="E33" s="1254" t="s">
        <v>10</v>
      </c>
      <c r="F33" s="1255"/>
      <c r="G33" s="1256">
        <f t="shared" si="0"/>
        <v>437.5</v>
      </c>
      <c r="H33" s="1256">
        <f t="shared" si="1"/>
        <v>875</v>
      </c>
      <c r="I33" s="1257">
        <f t="shared" si="2"/>
        <v>437.5</v>
      </c>
      <c r="J33" s="1258">
        <f>'16. APP UIIDP'!D36</f>
        <v>1750</v>
      </c>
      <c r="K33" s="768"/>
      <c r="L33" s="1985"/>
    </row>
    <row r="34" spans="2:12" ht="15" customHeight="1" thickBot="1" x14ac:dyDescent="0.35">
      <c r="B34" s="2080"/>
      <c r="C34" s="2129"/>
      <c r="D34" s="2085"/>
      <c r="E34" s="1031" t="s">
        <v>11</v>
      </c>
      <c r="F34" s="833"/>
      <c r="G34" s="1109">
        <f t="shared" si="0"/>
        <v>6.25E-2</v>
      </c>
      <c r="H34" s="1109">
        <f t="shared" si="1"/>
        <v>0.125</v>
      </c>
      <c r="I34" s="1110">
        <f t="shared" si="2"/>
        <v>6.25E-2</v>
      </c>
      <c r="J34" s="1112">
        <f>J33/7000</f>
        <v>0.25</v>
      </c>
      <c r="K34" s="768"/>
      <c r="L34" s="1985"/>
    </row>
    <row r="35" spans="2:12" ht="14.4" customHeight="1" thickBot="1" x14ac:dyDescent="0.35">
      <c r="B35" s="2081"/>
      <c r="C35" s="2130"/>
      <c r="D35" s="2085"/>
      <c r="E35" s="1031" t="s">
        <v>23</v>
      </c>
      <c r="F35" s="833"/>
      <c r="G35" s="997">
        <f t="shared" si="0"/>
        <v>558793.28249999997</v>
      </c>
      <c r="H35" s="997">
        <f t="shared" si="1"/>
        <v>1117586.5649999999</v>
      </c>
      <c r="I35" s="996">
        <f t="shared" si="2"/>
        <v>558793.28249999997</v>
      </c>
      <c r="J35" s="310">
        <f>'16. APP UIIDP'!H35</f>
        <v>2235173.13</v>
      </c>
      <c r="K35" s="768"/>
      <c r="L35" s="1985"/>
    </row>
    <row r="36" spans="2:12" ht="16.8" customHeight="1" thickBot="1" x14ac:dyDescent="0.35">
      <c r="B36" s="2079" t="s">
        <v>266</v>
      </c>
      <c r="C36" s="2128" t="s">
        <v>713</v>
      </c>
      <c r="D36" s="2085" t="s">
        <v>22</v>
      </c>
      <c r="E36" s="1254" t="s">
        <v>10</v>
      </c>
      <c r="F36" s="1255"/>
      <c r="G36" s="1256">
        <f t="shared" si="0"/>
        <v>315</v>
      </c>
      <c r="H36" s="1256">
        <f t="shared" si="1"/>
        <v>630</v>
      </c>
      <c r="I36" s="1257">
        <f t="shared" si="2"/>
        <v>315</v>
      </c>
      <c r="J36" s="1258">
        <f>'16. APP UIIDP'!D39</f>
        <v>1260</v>
      </c>
      <c r="K36" s="768"/>
      <c r="L36" s="1985"/>
    </row>
    <row r="37" spans="2:12" ht="16.2" customHeight="1" thickBot="1" x14ac:dyDescent="0.35">
      <c r="B37" s="2080"/>
      <c r="C37" s="2129"/>
      <c r="D37" s="2085"/>
      <c r="E37" s="1031" t="s">
        <v>11</v>
      </c>
      <c r="F37" s="833"/>
      <c r="G37" s="1109">
        <f t="shared" si="0"/>
        <v>4.4999999999999998E-2</v>
      </c>
      <c r="H37" s="1109">
        <f t="shared" si="1"/>
        <v>0.09</v>
      </c>
      <c r="I37" s="1110">
        <f t="shared" si="2"/>
        <v>4.4999999999999998E-2</v>
      </c>
      <c r="J37" s="1112">
        <f>J36/7000</f>
        <v>0.18</v>
      </c>
      <c r="K37" s="768"/>
      <c r="L37" s="1985"/>
    </row>
    <row r="38" spans="2:12" ht="15" customHeight="1" thickBot="1" x14ac:dyDescent="0.35">
      <c r="B38" s="2081"/>
      <c r="C38" s="2130"/>
      <c r="D38" s="2085"/>
      <c r="E38" s="1031" t="s">
        <v>23</v>
      </c>
      <c r="F38" s="833"/>
      <c r="G38" s="997">
        <f t="shared" si="0"/>
        <v>421988.19</v>
      </c>
      <c r="H38" s="997">
        <f t="shared" si="1"/>
        <v>843976.38</v>
      </c>
      <c r="I38" s="996">
        <f t="shared" si="2"/>
        <v>421988.19</v>
      </c>
      <c r="J38" s="321">
        <f>'16. APP UIIDP'!H38</f>
        <v>1687952.76</v>
      </c>
      <c r="K38" s="768"/>
      <c r="L38" s="1985"/>
    </row>
    <row r="39" spans="2:12" ht="15" customHeight="1" thickBot="1" x14ac:dyDescent="0.35">
      <c r="B39" s="2079" t="s">
        <v>267</v>
      </c>
      <c r="C39" s="2128" t="s">
        <v>714</v>
      </c>
      <c r="D39" s="2085" t="s">
        <v>22</v>
      </c>
      <c r="E39" s="1254" t="s">
        <v>10</v>
      </c>
      <c r="F39" s="1255"/>
      <c r="G39" s="1256">
        <f t="shared" si="0"/>
        <v>472.5</v>
      </c>
      <c r="H39" s="1256">
        <f t="shared" si="1"/>
        <v>945</v>
      </c>
      <c r="I39" s="1257">
        <f t="shared" si="2"/>
        <v>472.5</v>
      </c>
      <c r="J39" s="1259">
        <f>'16. APP UIIDP'!D42</f>
        <v>1890</v>
      </c>
      <c r="K39" s="768"/>
      <c r="L39" s="1985"/>
    </row>
    <row r="40" spans="2:12" ht="15" customHeight="1" thickBot="1" x14ac:dyDescent="0.35">
      <c r="B40" s="2080"/>
      <c r="C40" s="2129"/>
      <c r="D40" s="2085"/>
      <c r="E40" s="1031" t="s">
        <v>11</v>
      </c>
      <c r="F40" s="833"/>
      <c r="G40" s="1109">
        <f t="shared" si="0"/>
        <v>6.7500000000000004E-2</v>
      </c>
      <c r="H40" s="1109">
        <f t="shared" si="1"/>
        <v>0.13500000000000001</v>
      </c>
      <c r="I40" s="1110">
        <f t="shared" si="2"/>
        <v>6.7500000000000004E-2</v>
      </c>
      <c r="J40" s="1113">
        <f>J39/7000</f>
        <v>0.27</v>
      </c>
      <c r="K40" s="768"/>
      <c r="L40" s="1985"/>
    </row>
    <row r="41" spans="2:12" ht="15" customHeight="1" thickBot="1" x14ac:dyDescent="0.35">
      <c r="B41" s="2081"/>
      <c r="C41" s="2130"/>
      <c r="D41" s="2085"/>
      <c r="E41" s="1031" t="s">
        <v>23</v>
      </c>
      <c r="F41" s="833"/>
      <c r="G41" s="997">
        <f t="shared" si="0"/>
        <v>661096.92749999999</v>
      </c>
      <c r="H41" s="997">
        <f t="shared" si="1"/>
        <v>1322193.855</v>
      </c>
      <c r="I41" s="996">
        <f t="shared" si="2"/>
        <v>661096.92749999999</v>
      </c>
      <c r="J41" s="757">
        <f>'16. APP UIIDP'!H41</f>
        <v>2644387.71</v>
      </c>
      <c r="K41" s="768"/>
      <c r="L41" s="1985"/>
    </row>
    <row r="42" spans="2:12" ht="15" customHeight="1" thickBot="1" x14ac:dyDescent="0.35">
      <c r="B42" s="2079" t="s">
        <v>268</v>
      </c>
      <c r="C42" s="2128" t="s">
        <v>715</v>
      </c>
      <c r="D42" s="2085" t="s">
        <v>22</v>
      </c>
      <c r="E42" s="1254" t="s">
        <v>10</v>
      </c>
      <c r="F42" s="1255"/>
      <c r="G42" s="1256">
        <f t="shared" si="0"/>
        <v>560</v>
      </c>
      <c r="H42" s="1256">
        <f t="shared" si="1"/>
        <v>1120</v>
      </c>
      <c r="I42" s="1257">
        <f t="shared" si="2"/>
        <v>560</v>
      </c>
      <c r="J42" s="1259">
        <f>'16. APP UIIDP'!D45</f>
        <v>2240</v>
      </c>
      <c r="K42" s="768"/>
      <c r="L42" s="1985"/>
    </row>
    <row r="43" spans="2:12" ht="15" customHeight="1" thickBot="1" x14ac:dyDescent="0.35">
      <c r="B43" s="2080"/>
      <c r="C43" s="2129"/>
      <c r="D43" s="2085"/>
      <c r="E43" s="1031" t="s">
        <v>11</v>
      </c>
      <c r="F43" s="833"/>
      <c r="G43" s="1109">
        <f t="shared" si="0"/>
        <v>0.08</v>
      </c>
      <c r="H43" s="1109">
        <f t="shared" si="1"/>
        <v>0.16</v>
      </c>
      <c r="I43" s="1110">
        <f t="shared" si="2"/>
        <v>0.08</v>
      </c>
      <c r="J43" s="1113">
        <f>J42/7000</f>
        <v>0.32</v>
      </c>
      <c r="K43" s="768"/>
      <c r="L43" s="1985"/>
    </row>
    <row r="44" spans="2:12" ht="14.4" customHeight="1" thickBot="1" x14ac:dyDescent="0.35">
      <c r="B44" s="2081"/>
      <c r="C44" s="2130"/>
      <c r="D44" s="2085"/>
      <c r="E44" s="1031" t="s">
        <v>23</v>
      </c>
      <c r="F44" s="833"/>
      <c r="G44" s="997">
        <f t="shared" si="0"/>
        <v>735783.93500000006</v>
      </c>
      <c r="H44" s="997">
        <f t="shared" si="1"/>
        <v>1471567.87</v>
      </c>
      <c r="I44" s="996">
        <f t="shared" si="2"/>
        <v>735783.93500000006</v>
      </c>
      <c r="J44" s="1114">
        <f>'16. APP UIIDP'!H44</f>
        <v>2943135.74</v>
      </c>
      <c r="K44" s="768"/>
      <c r="L44" s="1985"/>
    </row>
    <row r="45" spans="2:12" ht="14.4" customHeight="1" thickBot="1" x14ac:dyDescent="0.35">
      <c r="B45" s="2079" t="s">
        <v>269</v>
      </c>
      <c r="C45" s="2128" t="s">
        <v>716</v>
      </c>
      <c r="D45" s="2085" t="s">
        <v>22</v>
      </c>
      <c r="E45" s="1254" t="s">
        <v>10</v>
      </c>
      <c r="F45" s="1255"/>
      <c r="G45" s="1256">
        <f t="shared" si="0"/>
        <v>577.5</v>
      </c>
      <c r="H45" s="1256">
        <f t="shared" si="1"/>
        <v>1155</v>
      </c>
      <c r="I45" s="1257">
        <f t="shared" si="2"/>
        <v>577.5</v>
      </c>
      <c r="J45" s="1259">
        <f>'16. APP UIIDP'!D48</f>
        <v>2310</v>
      </c>
      <c r="K45" s="768"/>
      <c r="L45" s="1985"/>
    </row>
    <row r="46" spans="2:12" ht="14.4" customHeight="1" thickBot="1" x14ac:dyDescent="0.35">
      <c r="B46" s="2080"/>
      <c r="C46" s="2129"/>
      <c r="D46" s="2085"/>
      <c r="E46" s="1031" t="s">
        <v>11</v>
      </c>
      <c r="F46" s="833"/>
      <c r="G46" s="1109">
        <f t="shared" si="0"/>
        <v>8.2500000000000004E-2</v>
      </c>
      <c r="H46" s="1109">
        <f t="shared" si="1"/>
        <v>0.16500000000000001</v>
      </c>
      <c r="I46" s="1110">
        <f t="shared" si="2"/>
        <v>8.2500000000000004E-2</v>
      </c>
      <c r="J46" s="1115">
        <f>J45/7000</f>
        <v>0.33</v>
      </c>
      <c r="K46" s="768"/>
      <c r="L46" s="1985"/>
    </row>
    <row r="47" spans="2:12" ht="22.8" customHeight="1" thickBot="1" x14ac:dyDescent="0.35">
      <c r="B47" s="2081"/>
      <c r="C47" s="2130"/>
      <c r="D47" s="2085"/>
      <c r="E47" s="1031" t="s">
        <v>23</v>
      </c>
      <c r="F47" s="833"/>
      <c r="G47" s="997">
        <f t="shared" si="0"/>
        <v>680970.89249999996</v>
      </c>
      <c r="H47" s="997">
        <f t="shared" si="1"/>
        <v>1361941.7849999999</v>
      </c>
      <c r="I47" s="996">
        <f t="shared" si="2"/>
        <v>680970.89249999996</v>
      </c>
      <c r="J47" s="757">
        <f>'16. APP UIIDP'!H47</f>
        <v>2723883.57</v>
      </c>
      <c r="K47" s="768"/>
      <c r="L47" s="1985"/>
    </row>
    <row r="48" spans="2:12" ht="15" customHeight="1" thickBot="1" x14ac:dyDescent="0.35">
      <c r="B48" s="2079" t="s">
        <v>270</v>
      </c>
      <c r="C48" s="2128" t="s">
        <v>717</v>
      </c>
      <c r="D48" s="2085" t="s">
        <v>22</v>
      </c>
      <c r="E48" s="1254" t="s">
        <v>10</v>
      </c>
      <c r="F48" s="1255"/>
      <c r="G48" s="1256">
        <f t="shared" si="0"/>
        <v>647.5</v>
      </c>
      <c r="H48" s="1256">
        <f t="shared" si="1"/>
        <v>1295</v>
      </c>
      <c r="I48" s="1257">
        <f t="shared" si="2"/>
        <v>647.5</v>
      </c>
      <c r="J48" s="1259">
        <f>'16. APP UIIDP'!D51</f>
        <v>2590</v>
      </c>
      <c r="K48" s="768"/>
      <c r="L48" s="1985"/>
    </row>
    <row r="49" spans="2:12" ht="15" customHeight="1" thickBot="1" x14ac:dyDescent="0.35">
      <c r="B49" s="2080"/>
      <c r="C49" s="2129"/>
      <c r="D49" s="2085"/>
      <c r="E49" s="1031" t="s">
        <v>11</v>
      </c>
      <c r="F49" s="833"/>
      <c r="G49" s="1109">
        <f t="shared" si="0"/>
        <v>9.2499999999999999E-2</v>
      </c>
      <c r="H49" s="1109">
        <f t="shared" si="1"/>
        <v>0.185</v>
      </c>
      <c r="I49" s="1110">
        <f t="shared" si="2"/>
        <v>9.2499999999999999E-2</v>
      </c>
      <c r="J49" s="1113">
        <f>J48/7000</f>
        <v>0.37</v>
      </c>
      <c r="K49" s="768"/>
      <c r="L49" s="1985"/>
    </row>
    <row r="50" spans="2:12" ht="36.6" customHeight="1" thickBot="1" x14ac:dyDescent="0.35">
      <c r="B50" s="2081"/>
      <c r="C50" s="2130"/>
      <c r="D50" s="2085"/>
      <c r="E50" s="1031" t="s">
        <v>23</v>
      </c>
      <c r="F50" s="833"/>
      <c r="G50" s="997">
        <f t="shared" si="0"/>
        <v>826057.73750000005</v>
      </c>
      <c r="H50" s="997">
        <f t="shared" si="1"/>
        <v>1652115.4750000001</v>
      </c>
      <c r="I50" s="996">
        <f t="shared" si="2"/>
        <v>826057.73750000005</v>
      </c>
      <c r="J50" s="757">
        <f>'16. APP UIIDP'!H50</f>
        <v>3304230.95</v>
      </c>
      <c r="K50" s="768"/>
      <c r="L50" s="1985"/>
    </row>
    <row r="51" spans="2:12" ht="15" customHeight="1" thickBot="1" x14ac:dyDescent="0.35">
      <c r="B51" s="2079" t="s">
        <v>271</v>
      </c>
      <c r="C51" s="2128" t="s">
        <v>718</v>
      </c>
      <c r="D51" s="2085" t="s">
        <v>22</v>
      </c>
      <c r="E51" s="1254" t="s">
        <v>10</v>
      </c>
      <c r="F51" s="1255"/>
      <c r="G51" s="1256">
        <f t="shared" si="0"/>
        <v>546</v>
      </c>
      <c r="H51" s="1256">
        <f t="shared" si="1"/>
        <v>1092</v>
      </c>
      <c r="I51" s="1257">
        <f t="shared" si="2"/>
        <v>546</v>
      </c>
      <c r="J51" s="1258">
        <f>'16. APP UIIDP'!D54</f>
        <v>2184</v>
      </c>
      <c r="K51" s="768"/>
      <c r="L51" s="1985"/>
    </row>
    <row r="52" spans="2:12" ht="15" customHeight="1" thickBot="1" x14ac:dyDescent="0.35">
      <c r="B52" s="2080"/>
      <c r="C52" s="2129"/>
      <c r="D52" s="2085"/>
      <c r="E52" s="1031" t="s">
        <v>11</v>
      </c>
      <c r="F52" s="833"/>
      <c r="G52" s="1109">
        <f t="shared" si="0"/>
        <v>7.8E-2</v>
      </c>
      <c r="H52" s="1109">
        <f t="shared" si="1"/>
        <v>0.156</v>
      </c>
      <c r="I52" s="1110">
        <f t="shared" si="2"/>
        <v>7.8E-2</v>
      </c>
      <c r="J52" s="1116">
        <f>J51/7000</f>
        <v>0.312</v>
      </c>
      <c r="K52" s="768"/>
      <c r="L52" s="1985"/>
    </row>
    <row r="53" spans="2:12" ht="15" customHeight="1" thickBot="1" x14ac:dyDescent="0.35">
      <c r="B53" s="2081"/>
      <c r="C53" s="2130"/>
      <c r="D53" s="2085"/>
      <c r="E53" s="1031" t="s">
        <v>23</v>
      </c>
      <c r="F53" s="833"/>
      <c r="G53" s="997">
        <f t="shared" si="0"/>
        <v>670640.51249999995</v>
      </c>
      <c r="H53" s="997">
        <f t="shared" si="1"/>
        <v>1341281.0249999999</v>
      </c>
      <c r="I53" s="996">
        <f t="shared" si="2"/>
        <v>670640.51249999995</v>
      </c>
      <c r="J53" s="310">
        <f>'16. APP UIIDP'!H53</f>
        <v>2682562.0499999998</v>
      </c>
      <c r="K53" s="768"/>
      <c r="L53" s="1985"/>
    </row>
    <row r="54" spans="2:12" ht="15" customHeight="1" thickBot="1" x14ac:dyDescent="0.35">
      <c r="B54" s="2079" t="s">
        <v>272</v>
      </c>
      <c r="C54" s="2128" t="s">
        <v>804</v>
      </c>
      <c r="D54" s="2085" t="s">
        <v>22</v>
      </c>
      <c r="E54" s="1254" t="s">
        <v>10</v>
      </c>
      <c r="F54" s="1255"/>
      <c r="G54" s="1256">
        <f t="shared" si="0"/>
        <v>367.5</v>
      </c>
      <c r="H54" s="1256">
        <f t="shared" si="1"/>
        <v>735</v>
      </c>
      <c r="I54" s="1257">
        <f t="shared" si="2"/>
        <v>367.5</v>
      </c>
      <c r="J54" s="1258">
        <f>'16. APP UIIDP'!D60</f>
        <v>1470</v>
      </c>
      <c r="K54" s="768"/>
      <c r="L54" s="1985"/>
    </row>
    <row r="55" spans="2:12" ht="15" customHeight="1" thickBot="1" x14ac:dyDescent="0.35">
      <c r="B55" s="2080"/>
      <c r="C55" s="2129"/>
      <c r="D55" s="2085"/>
      <c r="E55" s="1031" t="s">
        <v>11</v>
      </c>
      <c r="F55" s="833"/>
      <c r="G55" s="1109">
        <f t="shared" si="0"/>
        <v>5.2499999999999998E-2</v>
      </c>
      <c r="H55" s="1109">
        <f t="shared" si="1"/>
        <v>0.105</v>
      </c>
      <c r="I55" s="1110">
        <f t="shared" si="2"/>
        <v>5.2499999999999998E-2</v>
      </c>
      <c r="J55" s="1117">
        <f>J54/7000</f>
        <v>0.21</v>
      </c>
      <c r="K55" s="768"/>
      <c r="L55" s="1985"/>
    </row>
    <row r="56" spans="2:12" s="693" customFormat="1" ht="15" thickBot="1" x14ac:dyDescent="0.35">
      <c r="B56" s="2081"/>
      <c r="C56" s="2130"/>
      <c r="D56" s="2085"/>
      <c r="E56" s="1032" t="s">
        <v>23</v>
      </c>
      <c r="F56" s="834"/>
      <c r="G56" s="997">
        <f t="shared" si="0"/>
        <v>477582.99249999999</v>
      </c>
      <c r="H56" s="997">
        <f t="shared" si="1"/>
        <v>955165.98499999999</v>
      </c>
      <c r="I56" s="996">
        <f t="shared" si="2"/>
        <v>477582.99249999999</v>
      </c>
      <c r="J56" s="755">
        <f>'16. APP UIIDP'!H59</f>
        <v>1910331.97</v>
      </c>
      <c r="K56" s="769"/>
      <c r="L56" s="1985"/>
    </row>
    <row r="57" spans="2:12" ht="15" customHeight="1" thickBot="1" x14ac:dyDescent="0.35">
      <c r="B57" s="2079" t="s">
        <v>273</v>
      </c>
      <c r="C57" s="2128" t="s">
        <v>805</v>
      </c>
      <c r="D57" s="2085" t="s">
        <v>22</v>
      </c>
      <c r="E57" s="1254" t="s">
        <v>10</v>
      </c>
      <c r="F57" s="1255"/>
      <c r="G57" s="1256">
        <f>J57*0.25</f>
        <v>367.5</v>
      </c>
      <c r="H57" s="1256">
        <f>J57*0.5</f>
        <v>735</v>
      </c>
      <c r="I57" s="1257">
        <f>J57*0.25</f>
        <v>367.5</v>
      </c>
      <c r="J57" s="1258">
        <f>'16. APP UIIDP'!D57</f>
        <v>1470</v>
      </c>
      <c r="K57" s="768"/>
      <c r="L57" s="1985"/>
    </row>
    <row r="58" spans="2:12" ht="15" customHeight="1" thickBot="1" x14ac:dyDescent="0.35">
      <c r="B58" s="2080"/>
      <c r="C58" s="2129"/>
      <c r="D58" s="2085"/>
      <c r="E58" s="1031" t="s">
        <v>11</v>
      </c>
      <c r="F58" s="833"/>
      <c r="G58" s="1109">
        <f>J58*0.25</f>
        <v>5.2499999999999998E-2</v>
      </c>
      <c r="H58" s="1109">
        <f>J58*0.5</f>
        <v>0.105</v>
      </c>
      <c r="I58" s="1110">
        <f>J58*0.25</f>
        <v>5.2499999999999998E-2</v>
      </c>
      <c r="J58" s="1117">
        <f>J57/7000</f>
        <v>0.21</v>
      </c>
      <c r="K58" s="768"/>
      <c r="L58" s="1985"/>
    </row>
    <row r="59" spans="2:12" s="693" customFormat="1" ht="15" thickBot="1" x14ac:dyDescent="0.35">
      <c r="B59" s="2081"/>
      <c r="C59" s="2130"/>
      <c r="D59" s="2085"/>
      <c r="E59" s="1032" t="s">
        <v>23</v>
      </c>
      <c r="F59" s="834"/>
      <c r="G59" s="997">
        <f>J59*0.25</f>
        <v>477582.99249999999</v>
      </c>
      <c r="H59" s="997">
        <f>J59*0.5</f>
        <v>955165.98499999999</v>
      </c>
      <c r="I59" s="996">
        <f>J59*0.25</f>
        <v>477582.99249999999</v>
      </c>
      <c r="J59" s="755">
        <f>'16. APP UIIDP'!G59</f>
        <v>1910331.97</v>
      </c>
      <c r="K59" s="769"/>
      <c r="L59" s="1985"/>
    </row>
    <row r="60" spans="2:12" s="693" customFormat="1" ht="15" customHeight="1" thickBot="1" x14ac:dyDescent="0.35">
      <c r="B60" s="2076" t="s">
        <v>274</v>
      </c>
      <c r="C60" s="2128" t="s">
        <v>719</v>
      </c>
      <c r="D60" s="2116" t="s">
        <v>22</v>
      </c>
      <c r="E60" s="1254" t="s">
        <v>10</v>
      </c>
      <c r="F60" s="1255"/>
      <c r="G60" s="1256">
        <f t="shared" si="0"/>
        <v>472.5</v>
      </c>
      <c r="H60" s="1256">
        <f t="shared" si="1"/>
        <v>945</v>
      </c>
      <c r="I60" s="1257">
        <f t="shared" si="2"/>
        <v>472.5</v>
      </c>
      <c r="J60" s="1259">
        <f>'16. APP UIIDP'!D63</f>
        <v>1890</v>
      </c>
      <c r="K60" s="769"/>
      <c r="L60" s="1985"/>
    </row>
    <row r="61" spans="2:12" s="693" customFormat="1" ht="15" customHeight="1" thickBot="1" x14ac:dyDescent="0.35">
      <c r="B61" s="2077"/>
      <c r="C61" s="2129"/>
      <c r="D61" s="2116"/>
      <c r="E61" s="1032" t="s">
        <v>11</v>
      </c>
      <c r="F61" s="834"/>
      <c r="G61" s="1109">
        <f t="shared" si="0"/>
        <v>6.7500000000000004E-2</v>
      </c>
      <c r="H61" s="1109">
        <f t="shared" si="1"/>
        <v>0.13500000000000001</v>
      </c>
      <c r="I61" s="1110">
        <f t="shared" si="2"/>
        <v>6.7500000000000004E-2</v>
      </c>
      <c r="J61" s="1118">
        <f>J60/7000</f>
        <v>0.27</v>
      </c>
      <c r="K61" s="769"/>
      <c r="L61" s="1985"/>
    </row>
    <row r="62" spans="2:12" s="693" customFormat="1" ht="15" customHeight="1" thickBot="1" x14ac:dyDescent="0.35">
      <c r="B62" s="2078"/>
      <c r="C62" s="2130"/>
      <c r="D62" s="2116"/>
      <c r="E62" s="1032" t="s">
        <v>23</v>
      </c>
      <c r="F62" s="834"/>
      <c r="G62" s="997">
        <f t="shared" si="0"/>
        <v>613042.255</v>
      </c>
      <c r="H62" s="997">
        <f t="shared" si="1"/>
        <v>1226084.51</v>
      </c>
      <c r="I62" s="996">
        <f t="shared" si="2"/>
        <v>613042.255</v>
      </c>
      <c r="J62" s="1119">
        <f>'16. APP UIIDP'!H62</f>
        <v>2452169.02</v>
      </c>
      <c r="K62" s="769"/>
      <c r="L62" s="1985"/>
    </row>
    <row r="63" spans="2:12" s="693" customFormat="1" ht="15" customHeight="1" thickBot="1" x14ac:dyDescent="0.35">
      <c r="B63" s="2076" t="s">
        <v>275</v>
      </c>
      <c r="C63" s="2128" t="s">
        <v>720</v>
      </c>
      <c r="D63" s="2116" t="s">
        <v>22</v>
      </c>
      <c r="E63" s="1254" t="s">
        <v>10</v>
      </c>
      <c r="F63" s="1255"/>
      <c r="G63" s="1256">
        <f t="shared" si="0"/>
        <v>595</v>
      </c>
      <c r="H63" s="1256">
        <f t="shared" si="1"/>
        <v>1190</v>
      </c>
      <c r="I63" s="1257">
        <f t="shared" si="2"/>
        <v>595</v>
      </c>
      <c r="J63" s="1259">
        <f>'16. APP UIIDP'!D66</f>
        <v>2380</v>
      </c>
      <c r="K63" s="769"/>
      <c r="L63" s="1985"/>
    </row>
    <row r="64" spans="2:12" s="693" customFormat="1" ht="15" customHeight="1" thickBot="1" x14ac:dyDescent="0.35">
      <c r="B64" s="2077"/>
      <c r="C64" s="2129"/>
      <c r="D64" s="2116"/>
      <c r="E64" s="1032" t="s">
        <v>11</v>
      </c>
      <c r="F64" s="834"/>
      <c r="G64" s="1109">
        <f t="shared" si="0"/>
        <v>8.5000000000000006E-2</v>
      </c>
      <c r="H64" s="1109">
        <f t="shared" si="1"/>
        <v>0.17</v>
      </c>
      <c r="I64" s="1110">
        <f t="shared" si="2"/>
        <v>8.5000000000000006E-2</v>
      </c>
      <c r="J64" s="1120">
        <f>J63/7000</f>
        <v>0.34</v>
      </c>
      <c r="K64" s="769"/>
      <c r="L64" s="1985"/>
    </row>
    <row r="65" spans="2:12" s="693" customFormat="1" ht="15" customHeight="1" thickBot="1" x14ac:dyDescent="0.35">
      <c r="B65" s="2078"/>
      <c r="C65" s="2130"/>
      <c r="D65" s="2116"/>
      <c r="E65" s="1032" t="s">
        <v>23</v>
      </c>
      <c r="F65" s="834"/>
      <c r="G65" s="997">
        <f t="shared" si="0"/>
        <v>769861.24750000006</v>
      </c>
      <c r="H65" s="997">
        <f t="shared" si="1"/>
        <v>1539722.4950000001</v>
      </c>
      <c r="I65" s="996">
        <f t="shared" si="2"/>
        <v>769861.24750000006</v>
      </c>
      <c r="J65" s="758">
        <f>'16. APP UIIDP'!H65</f>
        <v>3079444.99</v>
      </c>
      <c r="K65" s="769"/>
      <c r="L65" s="1985"/>
    </row>
    <row r="66" spans="2:12" s="693" customFormat="1" ht="15" customHeight="1" thickBot="1" x14ac:dyDescent="0.35">
      <c r="B66" s="2079" t="s">
        <v>276</v>
      </c>
      <c r="C66" s="2128" t="s">
        <v>721</v>
      </c>
      <c r="D66" s="2085" t="s">
        <v>22</v>
      </c>
      <c r="E66" s="1254" t="s">
        <v>10</v>
      </c>
      <c r="F66" s="1255"/>
      <c r="G66" s="1256">
        <f t="shared" si="0"/>
        <v>675</v>
      </c>
      <c r="H66" s="1256">
        <f t="shared" si="1"/>
        <v>1350</v>
      </c>
      <c r="I66" s="1257">
        <f t="shared" si="2"/>
        <v>675</v>
      </c>
      <c r="J66" s="1258">
        <f>'16. APP UIIDP'!D69</f>
        <v>2700</v>
      </c>
      <c r="K66" s="769"/>
      <c r="L66" s="1985"/>
    </row>
    <row r="67" spans="2:12" s="693" customFormat="1" ht="15" customHeight="1" thickBot="1" x14ac:dyDescent="0.35">
      <c r="B67" s="2080"/>
      <c r="C67" s="2129"/>
      <c r="D67" s="2085"/>
      <c r="E67" s="1032" t="s">
        <v>11</v>
      </c>
      <c r="F67" s="834"/>
      <c r="G67" s="1109">
        <f t="shared" si="0"/>
        <v>9.6428571428571433E-2</v>
      </c>
      <c r="H67" s="1109">
        <f t="shared" si="1"/>
        <v>0.19285714285714287</v>
      </c>
      <c r="I67" s="1110">
        <f t="shared" si="2"/>
        <v>9.6428571428571433E-2</v>
      </c>
      <c r="J67" s="1118">
        <f>J66/7000</f>
        <v>0.38571428571428573</v>
      </c>
      <c r="K67" s="769"/>
      <c r="L67" s="1985"/>
    </row>
    <row r="68" spans="2:12" ht="14.4" customHeight="1" thickBot="1" x14ac:dyDescent="0.35">
      <c r="B68" s="2081"/>
      <c r="C68" s="2130"/>
      <c r="D68" s="2085"/>
      <c r="E68" s="1031" t="s">
        <v>23</v>
      </c>
      <c r="F68" s="833"/>
      <c r="G68" s="997">
        <f t="shared" si="0"/>
        <v>760813.67500000005</v>
      </c>
      <c r="H68" s="997">
        <f t="shared" si="1"/>
        <v>1521627.35</v>
      </c>
      <c r="I68" s="996">
        <f t="shared" si="2"/>
        <v>760813.67500000005</v>
      </c>
      <c r="J68" s="310">
        <f>'16. APP UIIDP'!H68</f>
        <v>3043254.7</v>
      </c>
      <c r="K68" s="768"/>
      <c r="L68" s="1985"/>
    </row>
    <row r="69" spans="2:12" ht="14.4" customHeight="1" thickBot="1" x14ac:dyDescent="0.35">
      <c r="B69" s="2079" t="s">
        <v>277</v>
      </c>
      <c r="C69" s="2128" t="s">
        <v>722</v>
      </c>
      <c r="D69" s="2085" t="s">
        <v>22</v>
      </c>
      <c r="E69" s="1254" t="s">
        <v>10</v>
      </c>
      <c r="F69" s="1255"/>
      <c r="G69" s="1256">
        <f t="shared" si="0"/>
        <v>580</v>
      </c>
      <c r="H69" s="1256">
        <f t="shared" si="1"/>
        <v>1160</v>
      </c>
      <c r="I69" s="1257">
        <f t="shared" si="2"/>
        <v>580</v>
      </c>
      <c r="J69" s="1258">
        <f>'16. APP UIIDP'!D72</f>
        <v>2320</v>
      </c>
      <c r="K69" s="768"/>
      <c r="L69" s="1985"/>
    </row>
    <row r="70" spans="2:12" ht="14.4" customHeight="1" thickBot="1" x14ac:dyDescent="0.35">
      <c r="B70" s="2080"/>
      <c r="C70" s="2129"/>
      <c r="D70" s="2085"/>
      <c r="E70" s="1031" t="s">
        <v>11</v>
      </c>
      <c r="F70" s="833"/>
      <c r="G70" s="1109">
        <f t="shared" si="0"/>
        <v>8.2857142857142851E-2</v>
      </c>
      <c r="H70" s="1109">
        <f t="shared" si="1"/>
        <v>0.1657142857142857</v>
      </c>
      <c r="I70" s="1110">
        <f t="shared" si="2"/>
        <v>8.2857142857142851E-2</v>
      </c>
      <c r="J70" s="1112">
        <f>J69/7000</f>
        <v>0.33142857142857141</v>
      </c>
      <c r="K70" s="768"/>
      <c r="L70" s="1985"/>
    </row>
    <row r="71" spans="2:12" s="339" customFormat="1" ht="15" customHeight="1" thickBot="1" x14ac:dyDescent="0.35">
      <c r="B71" s="2081"/>
      <c r="C71" s="2130"/>
      <c r="D71" s="2085"/>
      <c r="E71" s="1031" t="s">
        <v>23</v>
      </c>
      <c r="F71" s="833"/>
      <c r="G71" s="997">
        <f t="shared" si="0"/>
        <v>713610.02749999997</v>
      </c>
      <c r="H71" s="997">
        <f t="shared" si="1"/>
        <v>1427220.0549999999</v>
      </c>
      <c r="I71" s="996">
        <f t="shared" si="2"/>
        <v>713610.02749999997</v>
      </c>
      <c r="J71" s="310">
        <f>'16. APP UIIDP'!H71</f>
        <v>2854440.11</v>
      </c>
      <c r="K71" s="768"/>
      <c r="L71" s="1985"/>
    </row>
    <row r="72" spans="2:12" s="339" customFormat="1" ht="15" customHeight="1" thickBot="1" x14ac:dyDescent="0.35">
      <c r="B72" s="2079" t="s">
        <v>278</v>
      </c>
      <c r="C72" s="2128" t="s">
        <v>723</v>
      </c>
      <c r="D72" s="2085" t="s">
        <v>22</v>
      </c>
      <c r="E72" s="1254" t="s">
        <v>10</v>
      </c>
      <c r="F72" s="1255"/>
      <c r="G72" s="1256">
        <f t="shared" si="0"/>
        <v>700</v>
      </c>
      <c r="H72" s="1256">
        <f t="shared" si="1"/>
        <v>1400</v>
      </c>
      <c r="I72" s="1257">
        <f t="shared" si="2"/>
        <v>700</v>
      </c>
      <c r="J72" s="1258">
        <f>'16. APP UIIDP'!D75</f>
        <v>2800</v>
      </c>
      <c r="K72" s="768"/>
      <c r="L72" s="1985"/>
    </row>
    <row r="73" spans="2:12" s="339" customFormat="1" ht="15" customHeight="1" thickBot="1" x14ac:dyDescent="0.35">
      <c r="B73" s="2080"/>
      <c r="C73" s="2129"/>
      <c r="D73" s="2085"/>
      <c r="E73" s="1031" t="s">
        <v>11</v>
      </c>
      <c r="F73" s="833"/>
      <c r="G73" s="1109">
        <f t="shared" si="0"/>
        <v>0.1</v>
      </c>
      <c r="H73" s="1109">
        <f t="shared" si="1"/>
        <v>0.2</v>
      </c>
      <c r="I73" s="1110">
        <f t="shared" si="2"/>
        <v>0.1</v>
      </c>
      <c r="J73" s="1112">
        <f>J72/7000</f>
        <v>0.4</v>
      </c>
      <c r="K73" s="768"/>
      <c r="L73" s="1985"/>
    </row>
    <row r="74" spans="2:12" s="339" customFormat="1" ht="15" customHeight="1" thickBot="1" x14ac:dyDescent="0.35">
      <c r="B74" s="2081"/>
      <c r="C74" s="2130"/>
      <c r="D74" s="2085"/>
      <c r="E74" s="1031" t="s">
        <v>23</v>
      </c>
      <c r="F74" s="833"/>
      <c r="G74" s="997">
        <f t="shared" si="0"/>
        <v>851433.87</v>
      </c>
      <c r="H74" s="997">
        <f t="shared" si="1"/>
        <v>1702867.74</v>
      </c>
      <c r="I74" s="996">
        <f t="shared" si="2"/>
        <v>851433.87</v>
      </c>
      <c r="J74" s="310">
        <f>'16. APP UIIDP'!H74</f>
        <v>3405735.48</v>
      </c>
      <c r="K74" s="768"/>
      <c r="L74" s="1985"/>
    </row>
    <row r="75" spans="2:12" s="339" customFormat="1" ht="15" customHeight="1" thickBot="1" x14ac:dyDescent="0.35">
      <c r="B75" s="2079" t="s">
        <v>753</v>
      </c>
      <c r="C75" s="2128" t="s">
        <v>724</v>
      </c>
      <c r="D75" s="2085" t="s">
        <v>22</v>
      </c>
      <c r="E75" s="1254" t="s">
        <v>10</v>
      </c>
      <c r="F75" s="1255"/>
      <c r="G75" s="1256">
        <f t="shared" si="0"/>
        <v>612.5</v>
      </c>
      <c r="H75" s="1256">
        <f t="shared" si="1"/>
        <v>1225</v>
      </c>
      <c r="I75" s="1257">
        <f t="shared" si="2"/>
        <v>612.5</v>
      </c>
      <c r="J75" s="1258">
        <f>'16. APP UIIDP'!D78</f>
        <v>2450</v>
      </c>
      <c r="K75" s="768"/>
      <c r="L75" s="1985"/>
    </row>
    <row r="76" spans="2:12" s="339" customFormat="1" ht="15" customHeight="1" thickBot="1" x14ac:dyDescent="0.35">
      <c r="B76" s="2080"/>
      <c r="C76" s="2129"/>
      <c r="D76" s="2085"/>
      <c r="E76" s="1031" t="s">
        <v>11</v>
      </c>
      <c r="F76" s="833"/>
      <c r="G76" s="1109">
        <f t="shared" si="0"/>
        <v>8.7499999999999994E-2</v>
      </c>
      <c r="H76" s="1109">
        <f t="shared" si="1"/>
        <v>0.17499999999999999</v>
      </c>
      <c r="I76" s="1110">
        <f t="shared" si="2"/>
        <v>8.7499999999999994E-2</v>
      </c>
      <c r="J76" s="1112">
        <f>J75/7000</f>
        <v>0.35</v>
      </c>
      <c r="K76" s="768"/>
      <c r="L76" s="1985"/>
    </row>
    <row r="77" spans="2:12" ht="15" customHeight="1" thickBot="1" x14ac:dyDescent="0.35">
      <c r="B77" s="2081"/>
      <c r="C77" s="2130"/>
      <c r="D77" s="2085"/>
      <c r="E77" s="1031" t="s">
        <v>23</v>
      </c>
      <c r="F77" s="833"/>
      <c r="G77" s="997">
        <f t="shared" si="0"/>
        <v>791328.5625</v>
      </c>
      <c r="H77" s="997">
        <f t="shared" si="1"/>
        <v>1582657.125</v>
      </c>
      <c r="I77" s="996">
        <f t="shared" si="2"/>
        <v>791328.5625</v>
      </c>
      <c r="J77" s="310">
        <f>'16. APP UIIDP'!H77</f>
        <v>3165314.25</v>
      </c>
      <c r="K77" s="768"/>
      <c r="L77" s="1985"/>
    </row>
    <row r="78" spans="2:12" ht="15" customHeight="1" thickBot="1" x14ac:dyDescent="0.35">
      <c r="B78" s="2079" t="s">
        <v>754</v>
      </c>
      <c r="C78" s="2128" t="s">
        <v>725</v>
      </c>
      <c r="D78" s="2085" t="s">
        <v>22</v>
      </c>
      <c r="E78" s="1254" t="s">
        <v>10</v>
      </c>
      <c r="F78" s="1255"/>
      <c r="G78" s="1256">
        <f>J78*0.25</f>
        <v>490</v>
      </c>
      <c r="H78" s="1256">
        <f>J78*0.5</f>
        <v>980</v>
      </c>
      <c r="I78" s="1257">
        <f>J78*0.25</f>
        <v>490</v>
      </c>
      <c r="J78" s="1258">
        <f>'16. APP UIIDP'!D81</f>
        <v>1960</v>
      </c>
      <c r="K78" s="768"/>
      <c r="L78" s="1985"/>
    </row>
    <row r="79" spans="2:12" ht="15" customHeight="1" thickBot="1" x14ac:dyDescent="0.35">
      <c r="B79" s="2080"/>
      <c r="C79" s="2129"/>
      <c r="D79" s="2085"/>
      <c r="E79" s="1031" t="s">
        <v>11</v>
      </c>
      <c r="F79" s="833"/>
      <c r="G79" s="1109">
        <f>J79*0.25</f>
        <v>7.0000000000000007E-2</v>
      </c>
      <c r="H79" s="1109">
        <f>J79*0.5</f>
        <v>0.14000000000000001</v>
      </c>
      <c r="I79" s="1110">
        <f>J79*0.25</f>
        <v>7.0000000000000007E-2</v>
      </c>
      <c r="J79" s="1112">
        <f>J78/7000</f>
        <v>0.28000000000000003</v>
      </c>
      <c r="K79" s="768"/>
      <c r="L79" s="1985"/>
    </row>
    <row r="80" spans="2:12" ht="15" customHeight="1" thickBot="1" x14ac:dyDescent="0.35">
      <c r="B80" s="2081"/>
      <c r="C80" s="2130"/>
      <c r="D80" s="2085"/>
      <c r="E80" s="1031" t="s">
        <v>23</v>
      </c>
      <c r="F80" s="833"/>
      <c r="G80" s="997">
        <f>J80*0.25</f>
        <v>642563.59499999997</v>
      </c>
      <c r="H80" s="997">
        <f>J80*0.5</f>
        <v>1285127.19</v>
      </c>
      <c r="I80" s="996">
        <f>J80*0.25</f>
        <v>642563.59499999997</v>
      </c>
      <c r="J80" s="310">
        <f>'16. APP UIIDP'!H80</f>
        <v>2570254.38</v>
      </c>
      <c r="K80" s="768"/>
      <c r="L80" s="1985"/>
    </row>
    <row r="81" spans="2:12" ht="15" customHeight="1" thickBot="1" x14ac:dyDescent="0.35">
      <c r="B81" s="2079" t="s">
        <v>755</v>
      </c>
      <c r="C81" s="2128" t="s">
        <v>726</v>
      </c>
      <c r="D81" s="2085" t="s">
        <v>22</v>
      </c>
      <c r="E81" s="1254" t="s">
        <v>10</v>
      </c>
      <c r="F81" s="1255"/>
      <c r="G81" s="1256">
        <f t="shared" si="0"/>
        <v>490</v>
      </c>
      <c r="H81" s="1256">
        <f t="shared" si="1"/>
        <v>980</v>
      </c>
      <c r="I81" s="1257">
        <f t="shared" si="2"/>
        <v>490</v>
      </c>
      <c r="J81" s="1258">
        <f>'16. APP UIIDP'!D84</f>
        <v>1960</v>
      </c>
      <c r="K81" s="768"/>
      <c r="L81" s="1985"/>
    </row>
    <row r="82" spans="2:12" ht="15" customHeight="1" thickBot="1" x14ac:dyDescent="0.35">
      <c r="B82" s="2080"/>
      <c r="C82" s="2129"/>
      <c r="D82" s="2085"/>
      <c r="E82" s="1031" t="s">
        <v>11</v>
      </c>
      <c r="F82" s="833"/>
      <c r="G82" s="1109">
        <f t="shared" si="0"/>
        <v>7.0000000000000007E-2</v>
      </c>
      <c r="H82" s="1109">
        <f t="shared" si="1"/>
        <v>0.14000000000000001</v>
      </c>
      <c r="I82" s="1110">
        <f t="shared" si="2"/>
        <v>7.0000000000000007E-2</v>
      </c>
      <c r="J82" s="1112">
        <f>J81/7000</f>
        <v>0.28000000000000003</v>
      </c>
      <c r="K82" s="768"/>
      <c r="L82" s="1985"/>
    </row>
    <row r="83" spans="2:12" ht="15" customHeight="1" thickBot="1" x14ac:dyDescent="0.35">
      <c r="B83" s="2081"/>
      <c r="C83" s="2130"/>
      <c r="D83" s="2085"/>
      <c r="E83" s="1031" t="s">
        <v>23</v>
      </c>
      <c r="F83" s="833"/>
      <c r="G83" s="997">
        <f t="shared" si="0"/>
        <v>626186.57499999995</v>
      </c>
      <c r="H83" s="997">
        <f t="shared" si="1"/>
        <v>1252373.1499999999</v>
      </c>
      <c r="I83" s="996">
        <f t="shared" si="2"/>
        <v>626186.57499999995</v>
      </c>
      <c r="J83" s="310">
        <f>'16. APP UIIDP'!H83</f>
        <v>2504746.2999999998</v>
      </c>
      <c r="K83" s="768"/>
      <c r="L83" s="1985"/>
    </row>
    <row r="84" spans="2:12" ht="15" customHeight="1" thickBot="1" x14ac:dyDescent="0.35">
      <c r="B84" s="2079" t="s">
        <v>756</v>
      </c>
      <c r="C84" s="2128" t="s">
        <v>727</v>
      </c>
      <c r="D84" s="2085" t="s">
        <v>22</v>
      </c>
      <c r="E84" s="1254" t="s">
        <v>10</v>
      </c>
      <c r="F84" s="1255"/>
      <c r="G84" s="1256">
        <f>J84*0.25</f>
        <v>455</v>
      </c>
      <c r="H84" s="1256">
        <f>J84*0.5</f>
        <v>910</v>
      </c>
      <c r="I84" s="1257">
        <f>J84*0.25</f>
        <v>455</v>
      </c>
      <c r="J84" s="1258">
        <f>'16. APP UIIDP'!D87</f>
        <v>1820</v>
      </c>
      <c r="K84" s="768"/>
      <c r="L84" s="1985"/>
    </row>
    <row r="85" spans="2:12" ht="15" customHeight="1" thickBot="1" x14ac:dyDescent="0.35">
      <c r="B85" s="2080"/>
      <c r="C85" s="2129"/>
      <c r="D85" s="2085"/>
      <c r="E85" s="1031" t="s">
        <v>11</v>
      </c>
      <c r="F85" s="833"/>
      <c r="G85" s="1109">
        <f>J85*0.25</f>
        <v>6.5000000000000002E-2</v>
      </c>
      <c r="H85" s="1109">
        <f>J85*0.5</f>
        <v>0.13</v>
      </c>
      <c r="I85" s="1110">
        <f>J85*0.25</f>
        <v>6.5000000000000002E-2</v>
      </c>
      <c r="J85" s="1112">
        <f>J84/7000</f>
        <v>0.26</v>
      </c>
      <c r="K85" s="768"/>
      <c r="L85" s="1985"/>
    </row>
    <row r="86" spans="2:12" ht="15" customHeight="1" thickBot="1" x14ac:dyDescent="0.35">
      <c r="B86" s="2081"/>
      <c r="C86" s="2130"/>
      <c r="D86" s="2085"/>
      <c r="E86" s="1031" t="s">
        <v>23</v>
      </c>
      <c r="F86" s="833"/>
      <c r="G86" s="997">
        <f>J86*0.25</f>
        <v>583682.30000000005</v>
      </c>
      <c r="H86" s="997">
        <f>J86*0.5</f>
        <v>1167364.6000000001</v>
      </c>
      <c r="I86" s="996">
        <f>J86*0.25</f>
        <v>583682.30000000005</v>
      </c>
      <c r="J86" s="310">
        <f>'16. APP UIIDP'!H86</f>
        <v>2334729.2000000002</v>
      </c>
      <c r="K86" s="768"/>
      <c r="L86" s="1985"/>
    </row>
    <row r="87" spans="2:12" ht="15" customHeight="1" thickBot="1" x14ac:dyDescent="0.35">
      <c r="B87" s="2079" t="s">
        <v>757</v>
      </c>
      <c r="C87" s="2128" t="s">
        <v>728</v>
      </c>
      <c r="D87" s="2085" t="s">
        <v>22</v>
      </c>
      <c r="E87" s="1254" t="s">
        <v>10</v>
      </c>
      <c r="F87" s="1255"/>
      <c r="G87" s="1256">
        <f t="shared" si="0"/>
        <v>405</v>
      </c>
      <c r="H87" s="1256">
        <f t="shared" si="1"/>
        <v>810</v>
      </c>
      <c r="I87" s="1257">
        <f t="shared" si="2"/>
        <v>405</v>
      </c>
      <c r="J87" s="1258">
        <f>'16. APP UIIDP'!D90</f>
        <v>1620</v>
      </c>
      <c r="K87" s="768"/>
      <c r="L87" s="1985"/>
    </row>
    <row r="88" spans="2:12" ht="15" customHeight="1" thickBot="1" x14ac:dyDescent="0.35">
      <c r="B88" s="2080"/>
      <c r="C88" s="2129"/>
      <c r="D88" s="2085"/>
      <c r="E88" s="1031" t="s">
        <v>11</v>
      </c>
      <c r="F88" s="833"/>
      <c r="G88" s="1109">
        <f t="shared" si="0"/>
        <v>5.7857142857142857E-2</v>
      </c>
      <c r="H88" s="1109">
        <f t="shared" si="1"/>
        <v>0.11571428571428571</v>
      </c>
      <c r="I88" s="1110">
        <f t="shared" si="2"/>
        <v>5.7857142857142857E-2</v>
      </c>
      <c r="J88" s="1112">
        <f>J87/7000</f>
        <v>0.23142857142857143</v>
      </c>
      <c r="K88" s="768"/>
      <c r="L88" s="1985"/>
    </row>
    <row r="89" spans="2:12" ht="15" customHeight="1" thickBot="1" x14ac:dyDescent="0.35">
      <c r="B89" s="2081"/>
      <c r="C89" s="2130"/>
      <c r="D89" s="2085"/>
      <c r="E89" s="1031" t="s">
        <v>23</v>
      </c>
      <c r="F89" s="833"/>
      <c r="G89" s="997">
        <f t="shared" si="0"/>
        <v>475877.07750000001</v>
      </c>
      <c r="H89" s="997">
        <f t="shared" si="1"/>
        <v>951754.15500000003</v>
      </c>
      <c r="I89" s="996">
        <f t="shared" si="2"/>
        <v>475877.07750000001</v>
      </c>
      <c r="J89" s="310">
        <f>'16. APP UIIDP'!H89</f>
        <v>1903508.31</v>
      </c>
      <c r="K89" s="768"/>
      <c r="L89" s="1985"/>
    </row>
    <row r="90" spans="2:12" ht="15" customHeight="1" thickBot="1" x14ac:dyDescent="0.35">
      <c r="B90" s="2079" t="s">
        <v>758</v>
      </c>
      <c r="C90" s="2128" t="s">
        <v>729</v>
      </c>
      <c r="D90" s="2085" t="s">
        <v>22</v>
      </c>
      <c r="E90" s="1254" t="s">
        <v>10</v>
      </c>
      <c r="F90" s="1255"/>
      <c r="G90" s="1256">
        <f>J90*0.25</f>
        <v>540</v>
      </c>
      <c r="H90" s="1256">
        <f>J90*0.5</f>
        <v>1080</v>
      </c>
      <c r="I90" s="1257">
        <f>J90*0.25</f>
        <v>540</v>
      </c>
      <c r="J90" s="1258">
        <f>'16. APP UIIDP'!D93</f>
        <v>2160</v>
      </c>
      <c r="K90" s="768"/>
      <c r="L90" s="1985"/>
    </row>
    <row r="91" spans="2:12" ht="15" customHeight="1" thickBot="1" x14ac:dyDescent="0.35">
      <c r="B91" s="2080"/>
      <c r="C91" s="2129"/>
      <c r="D91" s="2085"/>
      <c r="E91" s="1031" t="s">
        <v>11</v>
      </c>
      <c r="F91" s="833"/>
      <c r="G91" s="1109">
        <f>J91*0.25</f>
        <v>7.7142857142857138E-2</v>
      </c>
      <c r="H91" s="1109">
        <f>J91*0.5</f>
        <v>0.15428571428571428</v>
      </c>
      <c r="I91" s="1110">
        <f>J91*0.25</f>
        <v>7.7142857142857138E-2</v>
      </c>
      <c r="J91" s="1112">
        <f>J90/7000</f>
        <v>0.30857142857142855</v>
      </c>
      <c r="K91" s="768"/>
      <c r="L91" s="1985"/>
    </row>
    <row r="92" spans="2:12" ht="15" customHeight="1" thickBot="1" x14ac:dyDescent="0.35">
      <c r="B92" s="2081"/>
      <c r="C92" s="2130"/>
      <c r="D92" s="2085"/>
      <c r="E92" s="1031" t="s">
        <v>23</v>
      </c>
      <c r="F92" s="833"/>
      <c r="G92" s="997">
        <f>J92*0.25</f>
        <v>651506.90249999997</v>
      </c>
      <c r="H92" s="997">
        <f>J92*0.5</f>
        <v>1303013.8049999999</v>
      </c>
      <c r="I92" s="996">
        <f>J92*0.25</f>
        <v>651506.90249999997</v>
      </c>
      <c r="J92" s="310">
        <f>'16. APP UIIDP'!H92</f>
        <v>2606027.61</v>
      </c>
      <c r="K92" s="768"/>
      <c r="L92" s="1985"/>
    </row>
    <row r="93" spans="2:12" ht="15" customHeight="1" thickBot="1" x14ac:dyDescent="0.35">
      <c r="B93" s="2079" t="s">
        <v>759</v>
      </c>
      <c r="C93" s="2128" t="s">
        <v>730</v>
      </c>
      <c r="D93" s="2085" t="s">
        <v>22</v>
      </c>
      <c r="E93" s="1254" t="s">
        <v>10</v>
      </c>
      <c r="F93" s="1255"/>
      <c r="G93" s="1256">
        <f t="shared" si="0"/>
        <v>467.25</v>
      </c>
      <c r="H93" s="1256">
        <f t="shared" si="1"/>
        <v>934.5</v>
      </c>
      <c r="I93" s="1257">
        <f t="shared" si="2"/>
        <v>467.25</v>
      </c>
      <c r="J93" s="1258">
        <f>'16. APP UIIDP'!D96</f>
        <v>1869</v>
      </c>
      <c r="K93" s="768"/>
      <c r="L93" s="1985"/>
    </row>
    <row r="94" spans="2:12" ht="15" customHeight="1" thickBot="1" x14ac:dyDescent="0.35">
      <c r="B94" s="2080"/>
      <c r="C94" s="2129"/>
      <c r="D94" s="2085"/>
      <c r="E94" s="1031" t="s">
        <v>11</v>
      </c>
      <c r="F94" s="833"/>
      <c r="G94" s="1109">
        <f t="shared" si="0"/>
        <v>6.6750000000000004E-2</v>
      </c>
      <c r="H94" s="1109">
        <f t="shared" si="1"/>
        <v>0.13350000000000001</v>
      </c>
      <c r="I94" s="1110">
        <f t="shared" si="2"/>
        <v>6.6750000000000004E-2</v>
      </c>
      <c r="J94" s="1112">
        <f>J93/7000</f>
        <v>0.26700000000000002</v>
      </c>
      <c r="K94" s="768"/>
      <c r="L94" s="1985"/>
    </row>
    <row r="95" spans="2:12" ht="15" customHeight="1" thickBot="1" x14ac:dyDescent="0.35">
      <c r="B95" s="2081"/>
      <c r="C95" s="2130"/>
      <c r="D95" s="2085"/>
      <c r="E95" s="1031" t="s">
        <v>23</v>
      </c>
      <c r="F95" s="833"/>
      <c r="G95" s="997">
        <f t="shared" si="0"/>
        <v>621203.43999999994</v>
      </c>
      <c r="H95" s="997">
        <f t="shared" si="1"/>
        <v>1242406.8799999999</v>
      </c>
      <c r="I95" s="996">
        <f t="shared" si="2"/>
        <v>621203.43999999994</v>
      </c>
      <c r="J95" s="310">
        <f>'16. APP UIIDP'!H95</f>
        <v>2484813.7599999998</v>
      </c>
      <c r="K95" s="768"/>
      <c r="L95" s="1985"/>
    </row>
    <row r="96" spans="2:12" ht="15" customHeight="1" thickBot="1" x14ac:dyDescent="0.35">
      <c r="B96" s="2079" t="s">
        <v>806</v>
      </c>
      <c r="C96" s="2128" t="s">
        <v>731</v>
      </c>
      <c r="D96" s="2085" t="s">
        <v>22</v>
      </c>
      <c r="E96" s="1254" t="s">
        <v>10</v>
      </c>
      <c r="F96" s="1255"/>
      <c r="G96" s="1256">
        <f>J96*0.25</f>
        <v>380</v>
      </c>
      <c r="H96" s="1256">
        <f>J96*0.5</f>
        <v>760</v>
      </c>
      <c r="I96" s="1257">
        <f>J96*0.25</f>
        <v>380</v>
      </c>
      <c r="J96" s="1258">
        <f>'16. APP UIIDP'!D99</f>
        <v>1520</v>
      </c>
      <c r="K96" s="768"/>
      <c r="L96" s="1985"/>
    </row>
    <row r="97" spans="2:13" ht="15" customHeight="1" thickBot="1" x14ac:dyDescent="0.35">
      <c r="B97" s="2080"/>
      <c r="C97" s="2129"/>
      <c r="D97" s="2085"/>
      <c r="E97" s="1031" t="s">
        <v>11</v>
      </c>
      <c r="F97" s="833"/>
      <c r="G97" s="1109">
        <f>J97*0.25</f>
        <v>5.4285714285714284E-2</v>
      </c>
      <c r="H97" s="1109">
        <f>J97*0.5</f>
        <v>0.10857142857142857</v>
      </c>
      <c r="I97" s="1110">
        <f>J97*0.25</f>
        <v>5.4285714285714284E-2</v>
      </c>
      <c r="J97" s="1112">
        <f>J96/7000</f>
        <v>0.21714285714285714</v>
      </c>
      <c r="K97" s="768"/>
      <c r="L97" s="1985"/>
    </row>
    <row r="98" spans="2:13" ht="15" customHeight="1" thickBot="1" x14ac:dyDescent="0.35">
      <c r="B98" s="2081"/>
      <c r="C98" s="2130"/>
      <c r="D98" s="2085"/>
      <c r="E98" s="1031" t="s">
        <v>23</v>
      </c>
      <c r="F98" s="833"/>
      <c r="G98" s="997">
        <f>J98*0.25</f>
        <v>467741.77750000003</v>
      </c>
      <c r="H98" s="997">
        <f>J98*0.5</f>
        <v>935483.55500000005</v>
      </c>
      <c r="I98" s="996">
        <f>J98*0.25</f>
        <v>467741.77750000003</v>
      </c>
      <c r="J98" s="310">
        <f>'16. APP UIIDP'!H98</f>
        <v>1870967.11</v>
      </c>
      <c r="K98" s="768"/>
      <c r="L98" s="1985"/>
    </row>
    <row r="99" spans="2:13" ht="15" customHeight="1" thickBot="1" x14ac:dyDescent="0.35">
      <c r="B99" s="2079" t="s">
        <v>807</v>
      </c>
      <c r="C99" s="2128" t="s">
        <v>732</v>
      </c>
      <c r="D99" s="2085" t="s">
        <v>22</v>
      </c>
      <c r="E99" s="1254" t="s">
        <v>10</v>
      </c>
      <c r="F99" s="1255"/>
      <c r="G99" s="1256">
        <f t="shared" si="0"/>
        <v>440</v>
      </c>
      <c r="H99" s="1256">
        <f t="shared" si="1"/>
        <v>880</v>
      </c>
      <c r="I99" s="1257">
        <f t="shared" si="2"/>
        <v>440</v>
      </c>
      <c r="J99" s="1258">
        <f>'16. APP UIIDP'!D102</f>
        <v>1760</v>
      </c>
      <c r="K99" s="768"/>
      <c r="L99" s="1985"/>
    </row>
    <row r="100" spans="2:13" ht="15" customHeight="1" thickBot="1" x14ac:dyDescent="0.35">
      <c r="B100" s="2080"/>
      <c r="C100" s="2129"/>
      <c r="D100" s="2085"/>
      <c r="E100" s="1031" t="s">
        <v>11</v>
      </c>
      <c r="F100" s="833"/>
      <c r="G100" s="1109">
        <f t="shared" si="0"/>
        <v>6.2857142857142861E-2</v>
      </c>
      <c r="H100" s="1109">
        <f t="shared" si="1"/>
        <v>0.12571428571428572</v>
      </c>
      <c r="I100" s="1110">
        <f t="shared" si="2"/>
        <v>6.2857142857142861E-2</v>
      </c>
      <c r="J100" s="1112">
        <f>J99/7000</f>
        <v>0.25142857142857145</v>
      </c>
      <c r="K100" s="768"/>
      <c r="L100" s="1985"/>
    </row>
    <row r="101" spans="2:13" ht="15" customHeight="1" thickBot="1" x14ac:dyDescent="0.35">
      <c r="B101" s="2081"/>
      <c r="C101" s="2130"/>
      <c r="D101" s="2085"/>
      <c r="E101" s="1031" t="s">
        <v>23</v>
      </c>
      <c r="F101" s="833"/>
      <c r="G101" s="997">
        <f t="shared" si="0"/>
        <v>536969.94999999995</v>
      </c>
      <c r="H101" s="997">
        <f t="shared" si="1"/>
        <v>1073939.8999999999</v>
      </c>
      <c r="I101" s="996">
        <f t="shared" si="2"/>
        <v>536969.94999999995</v>
      </c>
      <c r="J101" s="310">
        <f>'16. APP UIIDP'!H101</f>
        <v>2147879.7999999998</v>
      </c>
      <c r="K101" s="768"/>
      <c r="L101" s="1985"/>
    </row>
    <row r="102" spans="2:13" ht="15" customHeight="1" thickBot="1" x14ac:dyDescent="0.35">
      <c r="B102" s="2079"/>
      <c r="C102" s="2138" t="s">
        <v>279</v>
      </c>
      <c r="D102" s="2085" t="s">
        <v>22</v>
      </c>
      <c r="E102" s="1254" t="s">
        <v>10</v>
      </c>
      <c r="F102" s="1255"/>
      <c r="G102" s="1258">
        <f t="shared" ref="G102:I102" si="3">G12+G15+G21+G24+G27+G30+G33+G36+G39+G42+G45+G48+G51+G54+G60+G63+G66+G69+G72+G75+G78+G81+G84+G87+G90+G93+G96+G99+G18+G57</f>
        <v>15371.5</v>
      </c>
      <c r="H102" s="1258">
        <f t="shared" si="3"/>
        <v>30743</v>
      </c>
      <c r="I102" s="1258">
        <f t="shared" si="3"/>
        <v>15371.5</v>
      </c>
      <c r="J102" s="1258">
        <f>J12+J15+J21+J24+J27+J30+J33+J36+J39+J42+J45+J48+J51+J54+J60+J63+J66+J69+J72+J75+J78+J81+J84+J87+J90+J93+J96+J99+J18+J57</f>
        <v>61486</v>
      </c>
      <c r="K102" s="768"/>
      <c r="L102" s="1985"/>
      <c r="M102" s="534">
        <f>G102+H102+I102</f>
        <v>61486</v>
      </c>
    </row>
    <row r="103" spans="2:13" ht="15" customHeight="1" thickBot="1" x14ac:dyDescent="0.35">
      <c r="B103" s="2080"/>
      <c r="C103" s="2139"/>
      <c r="D103" s="2085"/>
      <c r="E103" s="1031" t="s">
        <v>11</v>
      </c>
      <c r="F103" s="833"/>
      <c r="G103" s="1112">
        <f t="shared" ref="G103:I103" si="4">G13+G16+G22+G25+G28+G31+G34+G37+G40+G43+G46+G49+G52+G55+G61+G64+G67+G70+G73+G76+G79+G82+G85+G88+G91+G94+G97+G100+G19+G58</f>
        <v>2.1959285714285719</v>
      </c>
      <c r="H103" s="1112">
        <f t="shared" si="4"/>
        <v>4.3918571428571438</v>
      </c>
      <c r="I103" s="1112">
        <f t="shared" si="4"/>
        <v>2.1959285714285719</v>
      </c>
      <c r="J103" s="1112">
        <f>J13+J16+J22+J25+J28+J31+J34+J37+J40+J43+J46+J49+J52+J55+J61+J64+J67+J70+J73+J76+J79+J82+J85+J88+J91+J94+J97+J100+J19+J58</f>
        <v>8.7837142857142876</v>
      </c>
      <c r="K103" s="768"/>
      <c r="L103" s="1985"/>
      <c r="M103" s="534">
        <f>G103+H103+I103</f>
        <v>8.7837142857142876</v>
      </c>
    </row>
    <row r="104" spans="2:13" ht="15" customHeight="1" thickBot="1" x14ac:dyDescent="0.35">
      <c r="B104" s="2081"/>
      <c r="C104" s="2140"/>
      <c r="D104" s="2085"/>
      <c r="E104" s="1339" t="s">
        <v>23</v>
      </c>
      <c r="F104" s="1340"/>
      <c r="G104" s="1341">
        <f t="shared" ref="G104:I104" si="5">G14+G17+G23+G26+G29+G32+G35+G38+G41+G44+G47+G50+G53+G56+G62+G65+G68+G71+G74+G77+G80+G83+G86+G89+G92+G95+G98+G101+G20+G59</f>
        <v>19492573.790000003</v>
      </c>
      <c r="H104" s="1341">
        <f t="shared" si="5"/>
        <v>38985147.580000006</v>
      </c>
      <c r="I104" s="1341">
        <f t="shared" si="5"/>
        <v>19492573.790000003</v>
      </c>
      <c r="J104" s="1341">
        <f>J14+J17+J23+J26+J29+J32+J35+J38+J41+J44+J47+J50+J53+J56+J62+J65+J68+J71+J74+J77+J80+J83+J86+J89+J92+J95+J98+J101+J20+J59</f>
        <v>77970295.160000011</v>
      </c>
      <c r="K104" s="770">
        <f>SUM(K14:K101)</f>
        <v>0</v>
      </c>
      <c r="L104" s="293"/>
      <c r="M104" s="534">
        <f>G104+H104+I104</f>
        <v>77970295.160000011</v>
      </c>
    </row>
    <row r="105" spans="2:13" s="693" customFormat="1" ht="16.5" customHeight="1" thickBot="1" x14ac:dyDescent="0.35">
      <c r="B105" s="348">
        <v>1.2</v>
      </c>
      <c r="C105" s="963" t="s">
        <v>397</v>
      </c>
      <c r="D105" s="1003"/>
      <c r="E105" s="1033"/>
      <c r="F105" s="820"/>
      <c r="G105" s="348"/>
      <c r="H105" s="348"/>
      <c r="I105" s="839"/>
      <c r="J105" s="916"/>
      <c r="K105" s="772"/>
      <c r="L105" s="692"/>
    </row>
    <row r="106" spans="2:13" s="693" customFormat="1" ht="16.5" customHeight="1" thickBot="1" x14ac:dyDescent="0.35">
      <c r="B106" s="2141" t="s">
        <v>178</v>
      </c>
      <c r="C106" s="2177" t="s">
        <v>516</v>
      </c>
      <c r="D106" s="2085" t="s">
        <v>22</v>
      </c>
      <c r="E106" s="1031" t="s">
        <v>10</v>
      </c>
      <c r="F106" s="833"/>
      <c r="G106" s="756"/>
      <c r="H106" s="756"/>
      <c r="I106" s="809"/>
      <c r="J106" s="705"/>
      <c r="K106" s="773"/>
      <c r="L106" s="692"/>
    </row>
    <row r="107" spans="2:13" s="339" customFormat="1" ht="18" customHeight="1" thickBot="1" x14ac:dyDescent="0.35">
      <c r="B107" s="2142"/>
      <c r="C107" s="2178"/>
      <c r="D107" s="2085"/>
      <c r="E107" s="1031" t="s">
        <v>11</v>
      </c>
      <c r="F107" s="833"/>
      <c r="G107" s="997">
        <f>J107*0.25</f>
        <v>0.6</v>
      </c>
      <c r="H107" s="997">
        <f>J107*0.5</f>
        <v>1.2</v>
      </c>
      <c r="I107" s="702">
        <f>J107*0.25</f>
        <v>0.6</v>
      </c>
      <c r="J107" s="917">
        <v>2.4</v>
      </c>
      <c r="K107" s="773"/>
      <c r="L107" s="338"/>
    </row>
    <row r="108" spans="2:13" s="339" customFormat="1" ht="19.2" customHeight="1" thickBot="1" x14ac:dyDescent="0.35">
      <c r="B108" s="2143"/>
      <c r="C108" s="2179"/>
      <c r="D108" s="2085"/>
      <c r="E108" s="1031" t="s">
        <v>23</v>
      </c>
      <c r="F108" s="833"/>
      <c r="G108" s="997">
        <f>J108*0.25</f>
        <v>1643426.8149999999</v>
      </c>
      <c r="H108" s="997">
        <f>J108*0.5</f>
        <v>3286853.63</v>
      </c>
      <c r="I108" s="702">
        <f>J108*0.25</f>
        <v>1643426.8149999999</v>
      </c>
      <c r="J108" s="918">
        <f>'16. APP UIIDP'!H168</f>
        <v>6573707.2599999998</v>
      </c>
      <c r="K108" s="774"/>
      <c r="L108" s="338"/>
    </row>
    <row r="109" spans="2:13" s="339" customFormat="1" ht="14.4" customHeight="1" thickBot="1" x14ac:dyDescent="0.35">
      <c r="B109" s="2141"/>
      <c r="C109" s="2144" t="s">
        <v>535</v>
      </c>
      <c r="D109" s="2085" t="s">
        <v>22</v>
      </c>
      <c r="E109" s="1031" t="s">
        <v>10</v>
      </c>
      <c r="F109" s="833"/>
      <c r="G109" s="997">
        <f>J109*0.25</f>
        <v>0</v>
      </c>
      <c r="H109" s="997">
        <f>J109*0.5</f>
        <v>0</v>
      </c>
      <c r="I109" s="702">
        <f>J109*0.25</f>
        <v>0</v>
      </c>
      <c r="J109" s="918"/>
      <c r="K109" s="774"/>
      <c r="L109" s="338"/>
    </row>
    <row r="110" spans="2:13" s="339" customFormat="1" ht="14.4" customHeight="1" thickBot="1" x14ac:dyDescent="0.35">
      <c r="B110" s="2142"/>
      <c r="C110" s="2145"/>
      <c r="D110" s="2085"/>
      <c r="E110" s="1031" t="s">
        <v>11</v>
      </c>
      <c r="F110" s="833"/>
      <c r="G110" s="997">
        <f>J110*0.25</f>
        <v>0.6</v>
      </c>
      <c r="H110" s="997">
        <f>J110*0.5</f>
        <v>1.2</v>
      </c>
      <c r="I110" s="702">
        <f>J110*0.25</f>
        <v>0.6</v>
      </c>
      <c r="J110" s="705">
        <f>J107</f>
        <v>2.4</v>
      </c>
      <c r="K110" s="774"/>
      <c r="L110" s="338"/>
    </row>
    <row r="111" spans="2:13" ht="15" customHeight="1" thickBot="1" x14ac:dyDescent="0.35">
      <c r="B111" s="2143"/>
      <c r="C111" s="2146"/>
      <c r="D111" s="2085"/>
      <c r="E111" s="1339" t="s">
        <v>23</v>
      </c>
      <c r="F111" s="1340"/>
      <c r="G111" s="1342">
        <f>J111*0.25</f>
        <v>1643426.8149999999</v>
      </c>
      <c r="H111" s="1342">
        <f>J111*0.5</f>
        <v>3286853.63</v>
      </c>
      <c r="I111" s="1343">
        <f>J111*0.25</f>
        <v>1643426.8149999999</v>
      </c>
      <c r="J111" s="1344">
        <f>J108</f>
        <v>6573707.2599999998</v>
      </c>
      <c r="K111" s="772">
        <f>K108</f>
        <v>0</v>
      </c>
      <c r="L111" s="293"/>
    </row>
    <row r="112" spans="2:13" ht="27" thickBot="1" x14ac:dyDescent="0.35">
      <c r="B112" s="329">
        <v>1.3</v>
      </c>
      <c r="C112" s="964" t="s">
        <v>536</v>
      </c>
      <c r="D112" s="1004"/>
      <c r="E112" s="1034"/>
      <c r="F112" s="821"/>
      <c r="G112" s="329"/>
      <c r="H112" s="329"/>
      <c r="I112" s="840"/>
      <c r="J112" s="418"/>
      <c r="K112" s="775"/>
      <c r="L112" s="293"/>
    </row>
    <row r="113" spans="2:12" ht="15" customHeight="1" thickBot="1" x14ac:dyDescent="0.35">
      <c r="B113" s="2079" t="s">
        <v>181</v>
      </c>
      <c r="C113" s="2098" t="s">
        <v>744</v>
      </c>
      <c r="D113" s="2085" t="s">
        <v>22</v>
      </c>
      <c r="E113" s="1031" t="s">
        <v>3</v>
      </c>
      <c r="F113" s="833"/>
      <c r="G113" s="997">
        <f>J113*0.25</f>
        <v>0.25</v>
      </c>
      <c r="H113" s="997">
        <f>J113*0.5</f>
        <v>0.5</v>
      </c>
      <c r="I113" s="702">
        <f>J113*0.25</f>
        <v>0.25</v>
      </c>
      <c r="J113" s="705">
        <v>1</v>
      </c>
      <c r="K113" s="773"/>
      <c r="L113" s="293"/>
    </row>
    <row r="114" spans="2:12" ht="15" customHeight="1" thickBot="1" x14ac:dyDescent="0.35">
      <c r="B114" s="2080"/>
      <c r="C114" s="2098"/>
      <c r="D114" s="2085"/>
      <c r="E114" s="1031" t="s">
        <v>11</v>
      </c>
      <c r="F114" s="833"/>
      <c r="G114" s="997">
        <f t="shared" ref="G114:G130" si="6">J114*0.25</f>
        <v>0</v>
      </c>
      <c r="H114" s="997">
        <f t="shared" ref="H114:H130" si="7">J114*0.5</f>
        <v>0</v>
      </c>
      <c r="I114" s="702">
        <f t="shared" ref="I114:I130" si="8">J114*0.25</f>
        <v>0</v>
      </c>
      <c r="J114" s="705"/>
      <c r="K114" s="773"/>
      <c r="L114" s="293"/>
    </row>
    <row r="115" spans="2:12" ht="14.4" customHeight="1" thickBot="1" x14ac:dyDescent="0.35">
      <c r="B115" s="2081"/>
      <c r="C115" s="2098"/>
      <c r="D115" s="2085"/>
      <c r="E115" s="1031" t="s">
        <v>23</v>
      </c>
      <c r="F115" s="833"/>
      <c r="G115" s="997">
        <f t="shared" si="6"/>
        <v>252654.89249999999</v>
      </c>
      <c r="H115" s="997">
        <f t="shared" si="7"/>
        <v>505309.78499999997</v>
      </c>
      <c r="I115" s="702">
        <f t="shared" si="8"/>
        <v>252654.89249999999</v>
      </c>
      <c r="J115" s="310">
        <f>'16. APP UIIDP'!H144</f>
        <v>1010619.57</v>
      </c>
      <c r="K115" s="768"/>
      <c r="L115" s="293"/>
    </row>
    <row r="116" spans="2:12" ht="14.4" customHeight="1" thickBot="1" x14ac:dyDescent="0.35">
      <c r="B116" s="2079" t="s">
        <v>182</v>
      </c>
      <c r="C116" s="2098" t="s">
        <v>745</v>
      </c>
      <c r="D116" s="2085" t="s">
        <v>22</v>
      </c>
      <c r="E116" s="1031" t="s">
        <v>3</v>
      </c>
      <c r="F116" s="833"/>
      <c r="G116" s="997">
        <f t="shared" si="6"/>
        <v>0.25</v>
      </c>
      <c r="H116" s="997">
        <f t="shared" si="7"/>
        <v>0.5</v>
      </c>
      <c r="I116" s="702">
        <f t="shared" si="8"/>
        <v>0.25</v>
      </c>
      <c r="J116" s="310">
        <v>1</v>
      </c>
      <c r="K116" s="768"/>
      <c r="L116" s="293"/>
    </row>
    <row r="117" spans="2:12" ht="14.4" customHeight="1" thickBot="1" x14ac:dyDescent="0.35">
      <c r="B117" s="2080"/>
      <c r="C117" s="2098"/>
      <c r="D117" s="2085"/>
      <c r="E117" s="1031" t="s">
        <v>11</v>
      </c>
      <c r="F117" s="833"/>
      <c r="G117" s="997">
        <f t="shared" si="6"/>
        <v>0</v>
      </c>
      <c r="H117" s="997">
        <f t="shared" si="7"/>
        <v>0</v>
      </c>
      <c r="I117" s="702">
        <f t="shared" si="8"/>
        <v>0</v>
      </c>
      <c r="J117" s="310"/>
      <c r="K117" s="768"/>
      <c r="L117" s="293"/>
    </row>
    <row r="118" spans="2:12" ht="15" customHeight="1" thickBot="1" x14ac:dyDescent="0.35">
      <c r="B118" s="2081"/>
      <c r="C118" s="2098"/>
      <c r="D118" s="2085"/>
      <c r="E118" s="1031" t="s">
        <v>23</v>
      </c>
      <c r="F118" s="833"/>
      <c r="G118" s="997">
        <f t="shared" si="6"/>
        <v>300999.22749999998</v>
      </c>
      <c r="H118" s="997">
        <f t="shared" si="7"/>
        <v>601998.45499999996</v>
      </c>
      <c r="I118" s="702">
        <f t="shared" si="8"/>
        <v>300999.22749999998</v>
      </c>
      <c r="J118" s="310">
        <f>'16. APP UIIDP'!H147</f>
        <v>1203996.9099999999</v>
      </c>
      <c r="K118" s="768"/>
      <c r="L118" s="293"/>
    </row>
    <row r="119" spans="2:12" ht="15" customHeight="1" thickBot="1" x14ac:dyDescent="0.35">
      <c r="B119" s="2079" t="s">
        <v>531</v>
      </c>
      <c r="C119" s="2098" t="s">
        <v>746</v>
      </c>
      <c r="D119" s="2085" t="s">
        <v>22</v>
      </c>
      <c r="E119" s="1031" t="s">
        <v>3</v>
      </c>
      <c r="F119" s="833"/>
      <c r="G119" s="997">
        <f t="shared" si="6"/>
        <v>0.25</v>
      </c>
      <c r="H119" s="997">
        <f t="shared" si="7"/>
        <v>0.5</v>
      </c>
      <c r="I119" s="702">
        <f t="shared" si="8"/>
        <v>0.25</v>
      </c>
      <c r="J119" s="310">
        <v>1</v>
      </c>
      <c r="K119" s="768"/>
      <c r="L119" s="293"/>
    </row>
    <row r="120" spans="2:12" ht="15" customHeight="1" thickBot="1" x14ac:dyDescent="0.35">
      <c r="B120" s="2080"/>
      <c r="C120" s="2098"/>
      <c r="D120" s="2085"/>
      <c r="E120" s="1031" t="s">
        <v>11</v>
      </c>
      <c r="F120" s="833"/>
      <c r="G120" s="997">
        <f t="shared" si="6"/>
        <v>0</v>
      </c>
      <c r="H120" s="997">
        <f t="shared" si="7"/>
        <v>0</v>
      </c>
      <c r="I120" s="702">
        <f t="shared" si="8"/>
        <v>0</v>
      </c>
      <c r="J120" s="310"/>
      <c r="K120" s="768"/>
      <c r="L120" s="293"/>
    </row>
    <row r="121" spans="2:12" ht="15" customHeight="1" thickBot="1" x14ac:dyDescent="0.35">
      <c r="B121" s="2081"/>
      <c r="C121" s="2098"/>
      <c r="D121" s="2085"/>
      <c r="E121" s="1031" t="s">
        <v>23</v>
      </c>
      <c r="F121" s="833"/>
      <c r="G121" s="997">
        <f t="shared" si="6"/>
        <v>289790.07750000001</v>
      </c>
      <c r="H121" s="997">
        <f t="shared" si="7"/>
        <v>579580.15500000003</v>
      </c>
      <c r="I121" s="702">
        <f t="shared" si="8"/>
        <v>289790.07750000001</v>
      </c>
      <c r="J121" s="310">
        <f>'16. APP UIIDP'!H150</f>
        <v>1159160.31</v>
      </c>
      <c r="K121" s="768"/>
      <c r="L121" s="293"/>
    </row>
    <row r="122" spans="2:12" ht="15" customHeight="1" thickBot="1" x14ac:dyDescent="0.35">
      <c r="B122" s="2079" t="s">
        <v>532</v>
      </c>
      <c r="C122" s="2098" t="s">
        <v>747</v>
      </c>
      <c r="D122" s="2085" t="s">
        <v>22</v>
      </c>
      <c r="E122" s="1031" t="s">
        <v>3</v>
      </c>
      <c r="F122" s="833"/>
      <c r="G122" s="997">
        <f t="shared" si="6"/>
        <v>0.25</v>
      </c>
      <c r="H122" s="997">
        <f t="shared" si="7"/>
        <v>0.5</v>
      </c>
      <c r="I122" s="702">
        <f t="shared" si="8"/>
        <v>0.25</v>
      </c>
      <c r="J122" s="310">
        <v>1</v>
      </c>
      <c r="K122" s="768"/>
      <c r="L122" s="293"/>
    </row>
    <row r="123" spans="2:12" ht="15" customHeight="1" thickBot="1" x14ac:dyDescent="0.35">
      <c r="B123" s="2080"/>
      <c r="C123" s="2098"/>
      <c r="D123" s="2085"/>
      <c r="E123" s="1031" t="s">
        <v>11</v>
      </c>
      <c r="F123" s="833"/>
      <c r="G123" s="997">
        <f t="shared" si="6"/>
        <v>0</v>
      </c>
      <c r="H123" s="997">
        <f t="shared" si="7"/>
        <v>0</v>
      </c>
      <c r="I123" s="702">
        <f t="shared" si="8"/>
        <v>0</v>
      </c>
      <c r="J123" s="310"/>
      <c r="K123" s="768"/>
      <c r="L123" s="293"/>
    </row>
    <row r="124" spans="2:12" ht="15" customHeight="1" thickBot="1" x14ac:dyDescent="0.35">
      <c r="B124" s="2081"/>
      <c r="C124" s="2098"/>
      <c r="D124" s="2085"/>
      <c r="E124" s="1031" t="s">
        <v>23</v>
      </c>
      <c r="F124" s="833"/>
      <c r="G124" s="997">
        <f t="shared" si="6"/>
        <v>236534.71</v>
      </c>
      <c r="H124" s="997">
        <f t="shared" si="7"/>
        <v>473069.42</v>
      </c>
      <c r="I124" s="702">
        <f t="shared" si="8"/>
        <v>236534.71</v>
      </c>
      <c r="J124" s="310">
        <f>'16. APP UIIDP'!H153</f>
        <v>946138.84</v>
      </c>
      <c r="K124" s="768"/>
      <c r="L124" s="293"/>
    </row>
    <row r="125" spans="2:12" ht="15" customHeight="1" thickBot="1" x14ac:dyDescent="0.35">
      <c r="B125" s="2079" t="s">
        <v>537</v>
      </c>
      <c r="C125" s="2098" t="s">
        <v>1004</v>
      </c>
      <c r="D125" s="2085" t="s">
        <v>22</v>
      </c>
      <c r="E125" s="1031" t="s">
        <v>3</v>
      </c>
      <c r="F125" s="833"/>
      <c r="G125" s="997">
        <f t="shared" si="6"/>
        <v>0.25</v>
      </c>
      <c r="H125" s="997">
        <f t="shared" si="7"/>
        <v>0.5</v>
      </c>
      <c r="I125" s="702">
        <f t="shared" si="8"/>
        <v>0.25</v>
      </c>
      <c r="J125" s="310">
        <v>1</v>
      </c>
      <c r="K125" s="768"/>
      <c r="L125" s="293"/>
    </row>
    <row r="126" spans="2:12" ht="15" customHeight="1" thickBot="1" x14ac:dyDescent="0.35">
      <c r="B126" s="2080"/>
      <c r="C126" s="2098"/>
      <c r="D126" s="2085"/>
      <c r="E126" s="1031" t="s">
        <v>11</v>
      </c>
      <c r="F126" s="833"/>
      <c r="G126" s="997">
        <f t="shared" si="6"/>
        <v>0</v>
      </c>
      <c r="H126" s="997">
        <f t="shared" si="7"/>
        <v>0</v>
      </c>
      <c r="I126" s="702">
        <f t="shared" si="8"/>
        <v>0</v>
      </c>
      <c r="J126" s="310"/>
      <c r="K126" s="768"/>
      <c r="L126" s="293"/>
    </row>
    <row r="127" spans="2:12" ht="15" customHeight="1" thickBot="1" x14ac:dyDescent="0.35">
      <c r="B127" s="2081"/>
      <c r="C127" s="2098"/>
      <c r="D127" s="2085"/>
      <c r="E127" s="1031" t="s">
        <v>23</v>
      </c>
      <c r="F127" s="833"/>
      <c r="G127" s="997">
        <f t="shared" si="6"/>
        <v>1266268.5774999999</v>
      </c>
      <c r="H127" s="997">
        <f t="shared" si="7"/>
        <v>2532537.1549999998</v>
      </c>
      <c r="I127" s="702">
        <f t="shared" si="8"/>
        <v>1266268.5774999999</v>
      </c>
      <c r="J127" s="310">
        <f>'16. APP UIIDP'!H158</f>
        <v>5065074.3099999996</v>
      </c>
      <c r="K127" s="768"/>
      <c r="L127" s="293"/>
    </row>
    <row r="128" spans="2:12" ht="15" customHeight="1" thickBot="1" x14ac:dyDescent="0.35">
      <c r="B128" s="2079"/>
      <c r="C128" s="2156" t="s">
        <v>539</v>
      </c>
      <c r="D128" s="2085" t="s">
        <v>22</v>
      </c>
      <c r="E128" s="1031" t="s">
        <v>3</v>
      </c>
      <c r="F128" s="833"/>
      <c r="G128" s="997">
        <f t="shared" si="6"/>
        <v>1.25</v>
      </c>
      <c r="H128" s="997">
        <f t="shared" si="7"/>
        <v>2.5</v>
      </c>
      <c r="I128" s="702">
        <f t="shared" si="8"/>
        <v>1.25</v>
      </c>
      <c r="J128" s="310">
        <f>J113+J116+J119+J122+J125</f>
        <v>5</v>
      </c>
      <c r="K128" s="768"/>
      <c r="L128" s="293"/>
    </row>
    <row r="129" spans="2:12" ht="15" customHeight="1" thickBot="1" x14ac:dyDescent="0.35">
      <c r="B129" s="2080"/>
      <c r="C129" s="2157"/>
      <c r="D129" s="2085"/>
      <c r="E129" s="1031" t="s">
        <v>11</v>
      </c>
      <c r="F129" s="833"/>
      <c r="G129" s="997">
        <f t="shared" si="6"/>
        <v>0</v>
      </c>
      <c r="H129" s="997">
        <f t="shared" si="7"/>
        <v>0</v>
      </c>
      <c r="I129" s="702">
        <f t="shared" si="8"/>
        <v>0</v>
      </c>
      <c r="J129" s="310"/>
      <c r="K129" s="768"/>
      <c r="L129" s="293"/>
    </row>
    <row r="130" spans="2:12" ht="15" customHeight="1" thickBot="1" x14ac:dyDescent="0.35">
      <c r="B130" s="2081"/>
      <c r="C130" s="2158"/>
      <c r="D130" s="2085"/>
      <c r="E130" s="1339" t="s">
        <v>23</v>
      </c>
      <c r="F130" s="1340"/>
      <c r="G130" s="1342">
        <f t="shared" si="6"/>
        <v>2346247.4849999999</v>
      </c>
      <c r="H130" s="1342">
        <f t="shared" si="7"/>
        <v>4692494.97</v>
      </c>
      <c r="I130" s="1343">
        <f t="shared" si="8"/>
        <v>2346247.4849999999</v>
      </c>
      <c r="J130" s="1344">
        <f>J115+J118+J121+J124+J127</f>
        <v>9384989.9399999995</v>
      </c>
      <c r="K130" s="775">
        <f>SUM(K115:K127)</f>
        <v>0</v>
      </c>
      <c r="L130" s="293"/>
    </row>
    <row r="131" spans="2:12" ht="28.2" thickBot="1" x14ac:dyDescent="0.35">
      <c r="B131" s="335"/>
      <c r="C131" s="965" t="s">
        <v>315</v>
      </c>
      <c r="D131" s="335"/>
      <c r="E131" s="391">
        <v>0</v>
      </c>
      <c r="F131" s="391">
        <f t="shared" ref="F131:K131" si="9">F104+F111+F130</f>
        <v>0</v>
      </c>
      <c r="G131" s="391">
        <f t="shared" si="9"/>
        <v>23482248.090000004</v>
      </c>
      <c r="H131" s="391">
        <f t="shared" si="9"/>
        <v>46964496.180000007</v>
      </c>
      <c r="I131" s="391">
        <f t="shared" si="9"/>
        <v>23482248.090000004</v>
      </c>
      <c r="J131" s="391">
        <f t="shared" si="9"/>
        <v>93928992.360000014</v>
      </c>
      <c r="K131" s="391">
        <f t="shared" si="9"/>
        <v>0</v>
      </c>
      <c r="L131" s="293"/>
    </row>
    <row r="132" spans="2:12" thickBot="1" x14ac:dyDescent="0.35">
      <c r="B132" s="340"/>
      <c r="C132" s="966" t="s">
        <v>316</v>
      </c>
      <c r="D132" s="747"/>
      <c r="E132" s="760"/>
      <c r="F132" s="822"/>
      <c r="G132" s="340"/>
      <c r="H132" s="340"/>
      <c r="I132" s="841"/>
      <c r="J132" s="919"/>
      <c r="K132" s="777"/>
      <c r="L132" s="293"/>
    </row>
    <row r="133" spans="2:12" thickBot="1" x14ac:dyDescent="0.35">
      <c r="B133" s="344">
        <v>1</v>
      </c>
      <c r="C133" s="967" t="s">
        <v>289</v>
      </c>
      <c r="D133" s="1005"/>
      <c r="E133" s="1035"/>
      <c r="F133" s="823"/>
      <c r="G133" s="344"/>
      <c r="H133" s="344"/>
      <c r="I133" s="842"/>
      <c r="J133" s="846"/>
      <c r="K133" s="778"/>
      <c r="L133" s="293"/>
    </row>
    <row r="134" spans="2:12" s="693" customFormat="1" ht="15" customHeight="1" thickBot="1" x14ac:dyDescent="0.35">
      <c r="B134" s="2079">
        <v>1.1000000000000001</v>
      </c>
      <c r="C134" s="2095" t="s">
        <v>760</v>
      </c>
      <c r="D134" s="2085" t="s">
        <v>22</v>
      </c>
      <c r="E134" s="1031" t="s">
        <v>10</v>
      </c>
      <c r="F134" s="833">
        <f>J134</f>
        <v>3745</v>
      </c>
      <c r="G134" s="756"/>
      <c r="H134" s="756"/>
      <c r="I134" s="809"/>
      <c r="J134" s="389">
        <f>'16. APP UIIDP'!D181</f>
        <v>3745</v>
      </c>
      <c r="K134" s="773"/>
      <c r="L134" s="692"/>
    </row>
    <row r="135" spans="2:12" s="693" customFormat="1" ht="15" customHeight="1" thickBot="1" x14ac:dyDescent="0.35">
      <c r="B135" s="2080"/>
      <c r="C135" s="2096"/>
      <c r="D135" s="2085"/>
      <c r="E135" s="1031" t="s">
        <v>11</v>
      </c>
      <c r="F135" s="1121">
        <f>F134/7/1000</f>
        <v>0.53500000000000003</v>
      </c>
      <c r="G135" s="1121">
        <f>G134/7/1000</f>
        <v>0</v>
      </c>
      <c r="H135" s="1121">
        <f>H134/7/1000</f>
        <v>0</v>
      </c>
      <c r="I135" s="1121">
        <f>I134/7/1000</f>
        <v>0</v>
      </c>
      <c r="J135" s="1121">
        <f>J134/7000</f>
        <v>0.53500000000000003</v>
      </c>
      <c r="K135" s="773"/>
      <c r="L135" s="692"/>
    </row>
    <row r="136" spans="2:12" ht="15" customHeight="1" thickBot="1" x14ac:dyDescent="0.35">
      <c r="B136" s="2081"/>
      <c r="C136" s="2097"/>
      <c r="D136" s="2085"/>
      <c r="E136" s="1031" t="s">
        <v>23</v>
      </c>
      <c r="F136" s="833">
        <f t="shared" ref="F136:F157" si="10">J136</f>
        <v>2353222.5699999998</v>
      </c>
      <c r="G136" s="756"/>
      <c r="H136" s="756"/>
      <c r="I136" s="803"/>
      <c r="J136" s="310">
        <f>'16. APP UIIDP'!H180</f>
        <v>2353222.5699999998</v>
      </c>
      <c r="K136" s="768"/>
      <c r="L136" s="293"/>
    </row>
    <row r="137" spans="2:12" ht="15" customHeight="1" thickBot="1" x14ac:dyDescent="0.35">
      <c r="B137" s="2079">
        <v>1.2</v>
      </c>
      <c r="C137" s="2095" t="s">
        <v>492</v>
      </c>
      <c r="D137" s="2085" t="s">
        <v>22</v>
      </c>
      <c r="E137" s="1031" t="s">
        <v>10</v>
      </c>
      <c r="F137" s="833">
        <f t="shared" si="10"/>
        <v>70</v>
      </c>
      <c r="G137" s="756"/>
      <c r="H137" s="756"/>
      <c r="I137" s="812"/>
      <c r="J137" s="389">
        <f>'16. APP UIIDP'!D184</f>
        <v>70</v>
      </c>
      <c r="K137" s="768"/>
      <c r="L137" s="293"/>
    </row>
    <row r="138" spans="2:12" ht="15" customHeight="1" thickBot="1" x14ac:dyDescent="0.35">
      <c r="B138" s="2080"/>
      <c r="C138" s="2096"/>
      <c r="D138" s="2085"/>
      <c r="E138" s="1031" t="s">
        <v>11</v>
      </c>
      <c r="F138" s="1112">
        <f>F137/7/1000</f>
        <v>0.01</v>
      </c>
      <c r="G138" s="1112">
        <f>G137/7/1000</f>
        <v>0</v>
      </c>
      <c r="H138" s="1112">
        <f>H137/7/1000</f>
        <v>0</v>
      </c>
      <c r="I138" s="1112">
        <f>I137/7/1000</f>
        <v>0</v>
      </c>
      <c r="J138" s="1112">
        <f>J137/7000</f>
        <v>0.01</v>
      </c>
      <c r="K138" s="768"/>
      <c r="L138" s="293"/>
    </row>
    <row r="139" spans="2:12" ht="15" customHeight="1" thickBot="1" x14ac:dyDescent="0.35">
      <c r="B139" s="2081"/>
      <c r="C139" s="2097"/>
      <c r="D139" s="2085"/>
      <c r="E139" s="1031" t="s">
        <v>23</v>
      </c>
      <c r="F139" s="833">
        <f t="shared" si="10"/>
        <v>653712.94999999995</v>
      </c>
      <c r="G139" s="756"/>
      <c r="H139" s="756"/>
      <c r="I139" s="803"/>
      <c r="J139" s="310">
        <f>'16. APP UIIDP'!H183</f>
        <v>653712.94999999995</v>
      </c>
      <c r="K139" s="768"/>
      <c r="L139" s="293"/>
    </row>
    <row r="140" spans="2:12" ht="15" customHeight="1" thickBot="1" x14ac:dyDescent="0.35">
      <c r="B140" s="2079">
        <v>1.3</v>
      </c>
      <c r="C140" s="2153" t="s">
        <v>493</v>
      </c>
      <c r="D140" s="2085" t="s">
        <v>22</v>
      </c>
      <c r="E140" s="1031" t="s">
        <v>10</v>
      </c>
      <c r="F140" s="833">
        <f t="shared" si="10"/>
        <v>140</v>
      </c>
      <c r="G140" s="756"/>
      <c r="H140" s="756"/>
      <c r="I140" s="812"/>
      <c r="J140" s="389">
        <f>'16. APP UIIDP'!D187</f>
        <v>140</v>
      </c>
      <c r="K140" s="768"/>
      <c r="L140" s="293"/>
    </row>
    <row r="141" spans="2:12" ht="15" customHeight="1" thickBot="1" x14ac:dyDescent="0.35">
      <c r="B141" s="2080"/>
      <c r="C141" s="2154"/>
      <c r="D141" s="2085"/>
      <c r="E141" s="1031" t="s">
        <v>11</v>
      </c>
      <c r="F141" s="1112">
        <f>F140/7/1000</f>
        <v>0.02</v>
      </c>
      <c r="G141" s="1112">
        <f>G140/7/1000</f>
        <v>0</v>
      </c>
      <c r="H141" s="1112">
        <f>H140/7/1000</f>
        <v>0</v>
      </c>
      <c r="I141" s="1112">
        <f>I140/7/1000</f>
        <v>0</v>
      </c>
      <c r="J141" s="1112">
        <f>J140/7000</f>
        <v>0.02</v>
      </c>
      <c r="K141" s="768"/>
      <c r="L141" s="293"/>
    </row>
    <row r="142" spans="2:12" ht="15" customHeight="1" thickBot="1" x14ac:dyDescent="0.35">
      <c r="B142" s="2080"/>
      <c r="C142" s="2155"/>
      <c r="D142" s="2085"/>
      <c r="E142" s="1031" t="s">
        <v>23</v>
      </c>
      <c r="F142" s="833">
        <f t="shared" si="10"/>
        <v>674018.23</v>
      </c>
      <c r="G142" s="756"/>
      <c r="H142" s="756"/>
      <c r="I142" s="803"/>
      <c r="J142" s="310">
        <f>'16. APP UIIDP'!H186</f>
        <v>674018.23</v>
      </c>
      <c r="K142" s="768"/>
      <c r="L142" s="293"/>
    </row>
    <row r="143" spans="2:12" ht="15" customHeight="1" thickBot="1" x14ac:dyDescent="0.35">
      <c r="B143" s="2052">
        <v>1.4</v>
      </c>
      <c r="C143" s="2095" t="s">
        <v>494</v>
      </c>
      <c r="D143" s="2085" t="s">
        <v>22</v>
      </c>
      <c r="E143" s="1031" t="s">
        <v>10</v>
      </c>
      <c r="F143" s="833">
        <f t="shared" si="10"/>
        <v>70</v>
      </c>
      <c r="G143" s="756"/>
      <c r="H143" s="756"/>
      <c r="I143" s="812"/>
      <c r="J143" s="389">
        <f>'16. APP UIIDP'!D190</f>
        <v>70</v>
      </c>
      <c r="K143" s="768"/>
      <c r="L143" s="293"/>
    </row>
    <row r="144" spans="2:12" ht="15" customHeight="1" thickBot="1" x14ac:dyDescent="0.35">
      <c r="B144" s="2052"/>
      <c r="C144" s="2096"/>
      <c r="D144" s="2085"/>
      <c r="E144" s="1031" t="s">
        <v>11</v>
      </c>
      <c r="F144" s="1112">
        <f>F143/7/1000</f>
        <v>0.01</v>
      </c>
      <c r="G144" s="1112">
        <f>G143/7/1000</f>
        <v>0</v>
      </c>
      <c r="H144" s="1112">
        <f>H143/7/1000</f>
        <v>0</v>
      </c>
      <c r="I144" s="1112">
        <f>I143/7/1000</f>
        <v>0</v>
      </c>
      <c r="J144" s="1112">
        <f>J143/7000</f>
        <v>0.01</v>
      </c>
      <c r="K144" s="768"/>
      <c r="L144" s="293"/>
    </row>
    <row r="145" spans="2:12" ht="15" customHeight="1" thickBot="1" x14ac:dyDescent="0.35">
      <c r="B145" s="2052"/>
      <c r="C145" s="2097"/>
      <c r="D145" s="2085"/>
      <c r="E145" s="1031" t="s">
        <v>23</v>
      </c>
      <c r="F145" s="833">
        <f t="shared" si="10"/>
        <v>552825.18000000005</v>
      </c>
      <c r="G145" s="756"/>
      <c r="H145" s="756"/>
      <c r="I145" s="803"/>
      <c r="J145" s="310">
        <f>'16. APP UIIDP'!H189</f>
        <v>552825.18000000005</v>
      </c>
      <c r="K145" s="768"/>
      <c r="L145" s="293"/>
    </row>
    <row r="146" spans="2:12" ht="15" customHeight="1" thickBot="1" x14ac:dyDescent="0.35">
      <c r="B146" s="2052">
        <v>1.5</v>
      </c>
      <c r="C146" s="2095" t="s">
        <v>495</v>
      </c>
      <c r="D146" s="2085" t="s">
        <v>22</v>
      </c>
      <c r="E146" s="1031" t="s">
        <v>10</v>
      </c>
      <c r="F146" s="833">
        <f t="shared" si="10"/>
        <v>70</v>
      </c>
      <c r="G146" s="756"/>
      <c r="H146" s="756"/>
      <c r="I146" s="812"/>
      <c r="J146" s="389">
        <f>'16. APP UIIDP'!D193</f>
        <v>70</v>
      </c>
      <c r="K146" s="768"/>
      <c r="L146" s="293"/>
    </row>
    <row r="147" spans="2:12" ht="15" customHeight="1" thickBot="1" x14ac:dyDescent="0.35">
      <c r="B147" s="2052"/>
      <c r="C147" s="2096"/>
      <c r="D147" s="2085"/>
      <c r="E147" s="1031" t="s">
        <v>11</v>
      </c>
      <c r="F147" s="1112">
        <f>F146/7/1000</f>
        <v>0.01</v>
      </c>
      <c r="G147" s="1112">
        <f>G146/7/1000</f>
        <v>0</v>
      </c>
      <c r="H147" s="1112">
        <f>H146/7/1000</f>
        <v>0</v>
      </c>
      <c r="I147" s="1112">
        <f>I146/7/1000</f>
        <v>0</v>
      </c>
      <c r="J147" s="1112">
        <f>J146/7000</f>
        <v>0.01</v>
      </c>
      <c r="K147" s="768"/>
      <c r="L147" s="293"/>
    </row>
    <row r="148" spans="2:12" ht="15" customHeight="1" thickBot="1" x14ac:dyDescent="0.35">
      <c r="B148" s="2052"/>
      <c r="C148" s="2097"/>
      <c r="D148" s="2085"/>
      <c r="E148" s="1031" t="s">
        <v>23</v>
      </c>
      <c r="F148" s="833">
        <f t="shared" si="10"/>
        <v>521796.62</v>
      </c>
      <c r="G148" s="756"/>
      <c r="H148" s="756"/>
      <c r="I148" s="803"/>
      <c r="J148" s="310">
        <f>'16. APP UIIDP'!H192</f>
        <v>521796.62</v>
      </c>
      <c r="K148" s="768"/>
      <c r="L148" s="293"/>
    </row>
    <row r="149" spans="2:12" ht="15" customHeight="1" thickBot="1" x14ac:dyDescent="0.35">
      <c r="B149" s="2052">
        <v>1.6</v>
      </c>
      <c r="C149" s="2095" t="s">
        <v>496</v>
      </c>
      <c r="D149" s="2085" t="s">
        <v>22</v>
      </c>
      <c r="E149" s="1031" t="s">
        <v>10</v>
      </c>
      <c r="F149" s="833">
        <f t="shared" si="10"/>
        <v>70</v>
      </c>
      <c r="G149" s="756"/>
      <c r="H149" s="756"/>
      <c r="I149" s="812"/>
      <c r="J149" s="389">
        <f>'16. APP UIIDP'!D196</f>
        <v>70</v>
      </c>
      <c r="K149" s="768"/>
      <c r="L149" s="293"/>
    </row>
    <row r="150" spans="2:12" ht="15" customHeight="1" thickBot="1" x14ac:dyDescent="0.35">
      <c r="B150" s="2052"/>
      <c r="C150" s="2096"/>
      <c r="D150" s="2085"/>
      <c r="E150" s="1031" t="s">
        <v>11</v>
      </c>
      <c r="F150" s="1112">
        <f>F149/7/1000</f>
        <v>0.01</v>
      </c>
      <c r="G150" s="1112">
        <f>G149/7/1000</f>
        <v>0</v>
      </c>
      <c r="H150" s="1112">
        <f>H149/7/1000</f>
        <v>0</v>
      </c>
      <c r="I150" s="1112">
        <f>I149/7/1000</f>
        <v>0</v>
      </c>
      <c r="J150" s="1112">
        <f>J149/7000</f>
        <v>0.01</v>
      </c>
      <c r="K150" s="768"/>
      <c r="L150" s="293"/>
    </row>
    <row r="151" spans="2:12" ht="15" customHeight="1" thickBot="1" x14ac:dyDescent="0.35">
      <c r="B151" s="2052"/>
      <c r="C151" s="2097"/>
      <c r="D151" s="2085"/>
      <c r="E151" s="1031" t="s">
        <v>23</v>
      </c>
      <c r="F151" s="833">
        <f t="shared" si="10"/>
        <v>419452.44</v>
      </c>
      <c r="G151" s="756"/>
      <c r="H151" s="756"/>
      <c r="I151" s="803"/>
      <c r="J151" s="310">
        <f>'16. APP UIIDP'!H195</f>
        <v>419452.44</v>
      </c>
      <c r="K151" s="768"/>
      <c r="L151" s="293"/>
    </row>
    <row r="152" spans="2:12" ht="15" customHeight="1" thickBot="1" x14ac:dyDescent="0.35">
      <c r="B152" s="2052">
        <v>1.7</v>
      </c>
      <c r="C152" s="2095" t="s">
        <v>144</v>
      </c>
      <c r="D152" s="2085" t="s">
        <v>22</v>
      </c>
      <c r="E152" s="1031" t="s">
        <v>10</v>
      </c>
      <c r="F152" s="833">
        <f t="shared" si="10"/>
        <v>70</v>
      </c>
      <c r="G152" s="756"/>
      <c r="H152" s="756"/>
      <c r="I152" s="812"/>
      <c r="J152" s="389">
        <v>70</v>
      </c>
      <c r="K152" s="768"/>
      <c r="L152" s="293"/>
    </row>
    <row r="153" spans="2:12" ht="15" customHeight="1" thickBot="1" x14ac:dyDescent="0.35">
      <c r="B153" s="2052"/>
      <c r="C153" s="2096"/>
      <c r="D153" s="2085"/>
      <c r="E153" s="1031" t="s">
        <v>11</v>
      </c>
      <c r="F153" s="1112">
        <f>F152/7/1000</f>
        <v>0.01</v>
      </c>
      <c r="G153" s="1112">
        <f>G152/7/1000</f>
        <v>0</v>
      </c>
      <c r="H153" s="1112">
        <f>H152/7/1000</f>
        <v>0</v>
      </c>
      <c r="I153" s="1112">
        <f>I152/7/1000</f>
        <v>0</v>
      </c>
      <c r="J153" s="1112">
        <f>J152/7/1000</f>
        <v>0.01</v>
      </c>
      <c r="K153" s="768"/>
      <c r="L153" s="293"/>
    </row>
    <row r="154" spans="2:12" ht="15" customHeight="1" thickBot="1" x14ac:dyDescent="0.35">
      <c r="B154" s="2052"/>
      <c r="C154" s="2097"/>
      <c r="D154" s="2085"/>
      <c r="E154" s="1031" t="s">
        <v>23</v>
      </c>
      <c r="F154" s="833">
        <f t="shared" si="10"/>
        <v>475911.75</v>
      </c>
      <c r="G154" s="756"/>
      <c r="H154" s="756"/>
      <c r="I154" s="803"/>
      <c r="J154" s="310">
        <f>'16. APP UIIDP'!H198</f>
        <v>475911.75</v>
      </c>
      <c r="K154" s="768"/>
      <c r="L154" s="293"/>
    </row>
    <row r="155" spans="2:12" ht="16.5" customHeight="1" thickBot="1" x14ac:dyDescent="0.35">
      <c r="B155" s="2147"/>
      <c r="C155" s="2150" t="s">
        <v>290</v>
      </c>
      <c r="D155" s="2085" t="s">
        <v>22</v>
      </c>
      <c r="E155" s="1031" t="s">
        <v>10</v>
      </c>
      <c r="F155" s="833">
        <f t="shared" si="10"/>
        <v>4235</v>
      </c>
      <c r="G155" s="756"/>
      <c r="H155" s="756"/>
      <c r="I155" s="812"/>
      <c r="J155" s="310">
        <f>J134+J137+J140+J143+J146+J149+J152</f>
        <v>4235</v>
      </c>
      <c r="K155" s="768"/>
      <c r="L155" s="293"/>
    </row>
    <row r="156" spans="2:12" ht="16.5" customHeight="1" thickBot="1" x14ac:dyDescent="0.35">
      <c r="B156" s="2148"/>
      <c r="C156" s="2151"/>
      <c r="D156" s="2085"/>
      <c r="E156" s="1031" t="s">
        <v>11</v>
      </c>
      <c r="F156" s="1112">
        <f>F155/7/1000</f>
        <v>0.60499999999999998</v>
      </c>
      <c r="G156" s="1112">
        <f>G155/7/1000</f>
        <v>0</v>
      </c>
      <c r="H156" s="1112">
        <f>H155/7/1000</f>
        <v>0</v>
      </c>
      <c r="I156" s="1112">
        <f>I155/7/1000</f>
        <v>0</v>
      </c>
      <c r="J156" s="1112">
        <f>J155/7000</f>
        <v>0.60499999999999998</v>
      </c>
      <c r="K156" s="768"/>
      <c r="L156" s="293"/>
    </row>
    <row r="157" spans="2:12" ht="15" customHeight="1" thickBot="1" x14ac:dyDescent="0.35">
      <c r="B157" s="2149"/>
      <c r="C157" s="2152"/>
      <c r="D157" s="2085"/>
      <c r="E157" s="1339" t="s">
        <v>23</v>
      </c>
      <c r="F157" s="1340">
        <f t="shared" si="10"/>
        <v>5650939.7400000002</v>
      </c>
      <c r="G157" s="1345"/>
      <c r="H157" s="1345"/>
      <c r="I157" s="1346">
        <f>SUM(I136:I154)</f>
        <v>0</v>
      </c>
      <c r="J157" s="1347">
        <f>J136+J139+J142+J145+J148+J151+J154</f>
        <v>5650939.7400000002</v>
      </c>
      <c r="K157" s="779">
        <f>SUM(K139:K142)</f>
        <v>0</v>
      </c>
      <c r="L157" s="293"/>
    </row>
    <row r="158" spans="2:12" ht="27" thickBot="1" x14ac:dyDescent="0.35">
      <c r="B158" s="696">
        <v>1.2</v>
      </c>
      <c r="C158" s="964" t="s">
        <v>541</v>
      </c>
      <c r="D158" s="1004"/>
      <c r="E158" s="1034"/>
      <c r="F158" s="821"/>
      <c r="G158" s="329"/>
      <c r="H158" s="329"/>
      <c r="I158" s="840"/>
      <c r="J158" s="418"/>
      <c r="K158" s="775"/>
      <c r="L158" s="293"/>
    </row>
    <row r="159" spans="2:12" s="693" customFormat="1" ht="15" customHeight="1" thickBot="1" x14ac:dyDescent="0.35">
      <c r="B159" s="2079" t="s">
        <v>181</v>
      </c>
      <c r="C159" s="2082" t="s">
        <v>766</v>
      </c>
      <c r="D159" s="2085" t="s">
        <v>22</v>
      </c>
      <c r="E159" s="1031" t="s">
        <v>3</v>
      </c>
      <c r="F159" s="833">
        <f t="shared" ref="F159:F164" si="11">J159</f>
        <v>0.1</v>
      </c>
      <c r="G159" s="756"/>
      <c r="H159" s="756"/>
      <c r="I159" s="809"/>
      <c r="J159" s="389">
        <v>0.1</v>
      </c>
      <c r="K159" s="773"/>
      <c r="L159" s="692"/>
    </row>
    <row r="160" spans="2:12" s="693" customFormat="1" ht="15" customHeight="1" thickBot="1" x14ac:dyDescent="0.35">
      <c r="B160" s="2080"/>
      <c r="C160" s="2083"/>
      <c r="D160" s="2085"/>
      <c r="E160" s="1031" t="s">
        <v>11</v>
      </c>
      <c r="F160" s="833">
        <f t="shared" si="11"/>
        <v>0</v>
      </c>
      <c r="G160" s="756"/>
      <c r="H160" s="756"/>
      <c r="I160" s="809"/>
      <c r="J160" s="705"/>
      <c r="K160" s="773"/>
      <c r="L160" s="692"/>
    </row>
    <row r="161" spans="2:12" ht="15" customHeight="1" thickBot="1" x14ac:dyDescent="0.35">
      <c r="B161" s="2081"/>
      <c r="C161" s="2084"/>
      <c r="D161" s="2085"/>
      <c r="E161" s="1031" t="s">
        <v>23</v>
      </c>
      <c r="F161" s="833">
        <f t="shared" si="11"/>
        <v>539035.66</v>
      </c>
      <c r="G161" s="756"/>
      <c r="H161" s="756"/>
      <c r="I161" s="803"/>
      <c r="J161" s="310">
        <f>'16. APP UIIDP'!G234</f>
        <v>539035.66</v>
      </c>
      <c r="K161" s="768">
        <v>0</v>
      </c>
      <c r="L161" s="293"/>
    </row>
    <row r="162" spans="2:12" s="693" customFormat="1" ht="15" customHeight="1" thickBot="1" x14ac:dyDescent="0.35">
      <c r="B162" s="2079" t="s">
        <v>181</v>
      </c>
      <c r="C162" s="2082" t="s">
        <v>534</v>
      </c>
      <c r="D162" s="2085" t="s">
        <v>22</v>
      </c>
      <c r="E162" s="1031" t="s">
        <v>3</v>
      </c>
      <c r="F162" s="833">
        <f t="shared" si="11"/>
        <v>0.15</v>
      </c>
      <c r="G162" s="756"/>
      <c r="H162" s="756"/>
      <c r="I162" s="809"/>
      <c r="J162" s="389">
        <v>0.15</v>
      </c>
      <c r="K162" s="773"/>
      <c r="L162" s="692"/>
    </row>
    <row r="163" spans="2:12" s="693" customFormat="1" ht="15" customHeight="1" thickBot="1" x14ac:dyDescent="0.35">
      <c r="B163" s="2080"/>
      <c r="C163" s="2083"/>
      <c r="D163" s="2085"/>
      <c r="E163" s="1031" t="s">
        <v>11</v>
      </c>
      <c r="F163" s="833">
        <f t="shared" si="11"/>
        <v>0</v>
      </c>
      <c r="G163" s="756"/>
      <c r="H163" s="756"/>
      <c r="I163" s="809"/>
      <c r="J163" s="705"/>
      <c r="K163" s="773"/>
      <c r="L163" s="692"/>
    </row>
    <row r="164" spans="2:12" ht="15" customHeight="1" thickBot="1" x14ac:dyDescent="0.35">
      <c r="B164" s="2081"/>
      <c r="C164" s="2084"/>
      <c r="D164" s="2085"/>
      <c r="E164" s="1031" t="s">
        <v>23</v>
      </c>
      <c r="F164" s="833">
        <f t="shared" si="11"/>
        <v>901281.57</v>
      </c>
      <c r="G164" s="756"/>
      <c r="H164" s="756"/>
      <c r="I164" s="803"/>
      <c r="J164" s="310">
        <f>'16. APP UIIDP'!G237</f>
        <v>901281.57</v>
      </c>
      <c r="K164" s="768">
        <v>0</v>
      </c>
      <c r="L164" s="293"/>
    </row>
    <row r="165" spans="2:12" s="693" customFormat="1" ht="15" customHeight="1" thickBot="1" x14ac:dyDescent="0.35">
      <c r="B165" s="2079" t="s">
        <v>181</v>
      </c>
      <c r="C165" s="2082" t="s">
        <v>602</v>
      </c>
      <c r="D165" s="2085" t="s">
        <v>22</v>
      </c>
      <c r="E165" s="1031" t="s">
        <v>3</v>
      </c>
      <c r="F165" s="833">
        <f t="shared" ref="F165:F170" si="12">J165</f>
        <v>0.1</v>
      </c>
      <c r="G165" s="756"/>
      <c r="H165" s="756"/>
      <c r="I165" s="809"/>
      <c r="J165" s="389">
        <v>0.1</v>
      </c>
      <c r="K165" s="773"/>
      <c r="L165" s="692"/>
    </row>
    <row r="166" spans="2:12" s="693" customFormat="1" ht="15" customHeight="1" thickBot="1" x14ac:dyDescent="0.35">
      <c r="B166" s="2080"/>
      <c r="C166" s="2083"/>
      <c r="D166" s="2085"/>
      <c r="E166" s="1031" t="s">
        <v>11</v>
      </c>
      <c r="F166" s="833">
        <f t="shared" si="12"/>
        <v>0</v>
      </c>
      <c r="G166" s="756"/>
      <c r="H166" s="756"/>
      <c r="I166" s="809"/>
      <c r="J166" s="705"/>
      <c r="K166" s="773"/>
      <c r="L166" s="692"/>
    </row>
    <row r="167" spans="2:12" ht="15" customHeight="1" thickBot="1" x14ac:dyDescent="0.35">
      <c r="B167" s="2081"/>
      <c r="C167" s="2084"/>
      <c r="D167" s="2085"/>
      <c r="E167" s="1031" t="s">
        <v>23</v>
      </c>
      <c r="F167" s="833">
        <f t="shared" si="12"/>
        <v>7998959.3799999999</v>
      </c>
      <c r="G167" s="756"/>
      <c r="H167" s="756"/>
      <c r="I167" s="803"/>
      <c r="J167" s="310">
        <f>'16. APP UIIDP'!G240</f>
        <v>7998959.3799999999</v>
      </c>
      <c r="K167" s="768">
        <v>0</v>
      </c>
      <c r="L167" s="293"/>
    </row>
    <row r="168" spans="2:12" ht="15" customHeight="1" thickBot="1" x14ac:dyDescent="0.35">
      <c r="B168" s="2079"/>
      <c r="C168" s="2156" t="s">
        <v>542</v>
      </c>
      <c r="D168" s="2085" t="s">
        <v>22</v>
      </c>
      <c r="E168" s="1031" t="s">
        <v>3</v>
      </c>
      <c r="F168" s="833">
        <f t="shared" si="12"/>
        <v>3</v>
      </c>
      <c r="G168" s="756"/>
      <c r="H168" s="756"/>
      <c r="I168" s="812"/>
      <c r="J168" s="310">
        <v>3</v>
      </c>
      <c r="K168" s="768"/>
      <c r="L168" s="293"/>
    </row>
    <row r="169" spans="2:12" ht="15" customHeight="1" thickBot="1" x14ac:dyDescent="0.35">
      <c r="B169" s="2080"/>
      <c r="C169" s="2157"/>
      <c r="D169" s="2085"/>
      <c r="E169" s="1031" t="s">
        <v>11</v>
      </c>
      <c r="F169" s="833">
        <f t="shared" si="12"/>
        <v>0</v>
      </c>
      <c r="G169" s="756"/>
      <c r="H169" s="756"/>
      <c r="I169" s="812"/>
      <c r="J169" s="310"/>
      <c r="K169" s="768"/>
      <c r="L169" s="293"/>
    </row>
    <row r="170" spans="2:12" ht="15" customHeight="1" thickBot="1" x14ac:dyDescent="0.35">
      <c r="B170" s="2081"/>
      <c r="C170" s="2158"/>
      <c r="D170" s="2085"/>
      <c r="E170" s="1339" t="s">
        <v>23</v>
      </c>
      <c r="F170" s="1340">
        <f t="shared" si="12"/>
        <v>9439276.6099999994</v>
      </c>
      <c r="G170" s="1345"/>
      <c r="H170" s="1345"/>
      <c r="I170" s="1348"/>
      <c r="J170" s="1344">
        <f>J161+J164+J167</f>
        <v>9439276.6099999994</v>
      </c>
      <c r="K170" s="775">
        <f>SUM(K167:K167)</f>
        <v>0</v>
      </c>
      <c r="L170" s="293"/>
    </row>
    <row r="171" spans="2:12" thickBot="1" x14ac:dyDescent="0.35">
      <c r="B171" s="329">
        <v>1.4</v>
      </c>
      <c r="C171" s="964" t="s">
        <v>543</v>
      </c>
      <c r="D171" s="1004"/>
      <c r="E171" s="1034"/>
      <c r="F171" s="821"/>
      <c r="G171" s="329"/>
      <c r="H171" s="329"/>
      <c r="I171" s="840"/>
      <c r="J171" s="418"/>
      <c r="K171" s="775"/>
      <c r="L171" s="293"/>
    </row>
    <row r="172" spans="2:12" s="693" customFormat="1" ht="15" customHeight="1" thickBot="1" x14ac:dyDescent="0.35">
      <c r="B172" s="2079" t="s">
        <v>184</v>
      </c>
      <c r="C172" s="2092" t="s">
        <v>540</v>
      </c>
      <c r="D172" s="2085" t="s">
        <v>22</v>
      </c>
      <c r="E172" s="1390" t="s">
        <v>3</v>
      </c>
      <c r="F172" s="1379">
        <f t="shared" ref="F172:F176" si="13">J172*0.25</f>
        <v>0.2</v>
      </c>
      <c r="G172" s="1380">
        <f t="shared" ref="G172:G176" si="14">J172*0.25</f>
        <v>0.2</v>
      </c>
      <c r="H172" s="1380">
        <f t="shared" ref="H172:H176" si="15">J172*0.25</f>
        <v>0.2</v>
      </c>
      <c r="I172" s="1381">
        <f t="shared" ref="I172:I176" si="16">J172*0.25</f>
        <v>0.2</v>
      </c>
      <c r="J172" s="1391">
        <v>0.8</v>
      </c>
      <c r="K172" s="773"/>
      <c r="L172" s="692"/>
    </row>
    <row r="173" spans="2:12" s="693" customFormat="1" ht="15" customHeight="1" thickBot="1" x14ac:dyDescent="0.35">
      <c r="B173" s="2080"/>
      <c r="C173" s="2093"/>
      <c r="D173" s="2085"/>
      <c r="E173" s="1390" t="s">
        <v>11</v>
      </c>
      <c r="F173" s="1379">
        <f t="shared" si="13"/>
        <v>0</v>
      </c>
      <c r="G173" s="1380">
        <f t="shared" si="14"/>
        <v>0</v>
      </c>
      <c r="H173" s="1380">
        <f t="shared" si="15"/>
        <v>0</v>
      </c>
      <c r="I173" s="1381">
        <f t="shared" si="16"/>
        <v>0</v>
      </c>
      <c r="J173" s="1383"/>
      <c r="K173" s="773"/>
      <c r="L173" s="692"/>
    </row>
    <row r="174" spans="2:12" ht="15" customHeight="1" thickBot="1" x14ac:dyDescent="0.35">
      <c r="B174" s="2081"/>
      <c r="C174" s="2094"/>
      <c r="D174" s="2085"/>
      <c r="E174" s="1390" t="s">
        <v>23</v>
      </c>
      <c r="F174" s="1379">
        <f t="shared" si="13"/>
        <v>2750000</v>
      </c>
      <c r="G174" s="1380">
        <f t="shared" si="14"/>
        <v>2750000</v>
      </c>
      <c r="H174" s="1380">
        <f t="shared" si="15"/>
        <v>2750000</v>
      </c>
      <c r="I174" s="1381">
        <f t="shared" si="16"/>
        <v>2750000</v>
      </c>
      <c r="J174" s="1391">
        <f>'State projects APP'!H18</f>
        <v>11000000</v>
      </c>
      <c r="K174" s="768"/>
      <c r="L174" s="293"/>
    </row>
    <row r="175" spans="2:12" ht="15" customHeight="1" thickBot="1" x14ac:dyDescent="0.35">
      <c r="B175" s="2079"/>
      <c r="C175" s="2156" t="s">
        <v>407</v>
      </c>
      <c r="D175" s="2085" t="s">
        <v>22</v>
      </c>
      <c r="E175" s="1390" t="s">
        <v>3</v>
      </c>
      <c r="F175" s="1379">
        <f t="shared" si="13"/>
        <v>0.2</v>
      </c>
      <c r="G175" s="1380">
        <f t="shared" si="14"/>
        <v>0.2</v>
      </c>
      <c r="H175" s="1380">
        <f t="shared" si="15"/>
        <v>0.2</v>
      </c>
      <c r="I175" s="1381">
        <f t="shared" si="16"/>
        <v>0.2</v>
      </c>
      <c r="J175" s="1392">
        <f>J172</f>
        <v>0.8</v>
      </c>
      <c r="K175" s="768"/>
      <c r="L175" s="293"/>
    </row>
    <row r="176" spans="2:12" ht="15" customHeight="1" thickBot="1" x14ac:dyDescent="0.35">
      <c r="B176" s="2080"/>
      <c r="C176" s="2157"/>
      <c r="D176" s="2085"/>
      <c r="E176" s="1390" t="s">
        <v>11</v>
      </c>
      <c r="F176" s="1379">
        <f t="shared" si="13"/>
        <v>0</v>
      </c>
      <c r="G176" s="1380">
        <f t="shared" si="14"/>
        <v>0</v>
      </c>
      <c r="H176" s="1380">
        <f t="shared" si="15"/>
        <v>0</v>
      </c>
      <c r="I176" s="1381">
        <f t="shared" si="16"/>
        <v>0</v>
      </c>
      <c r="J176" s="1391"/>
      <c r="K176" s="768"/>
      <c r="L176" s="293"/>
    </row>
    <row r="177" spans="2:12" ht="15" customHeight="1" thickBot="1" x14ac:dyDescent="0.35">
      <c r="B177" s="2081"/>
      <c r="C177" s="2158"/>
      <c r="D177" s="2085"/>
      <c r="E177" s="1393" t="s">
        <v>23</v>
      </c>
      <c r="F177" s="1389">
        <f t="shared" ref="F177:I177" si="17">F174</f>
        <v>2750000</v>
      </c>
      <c r="G177" s="1389">
        <f t="shared" si="17"/>
        <v>2750000</v>
      </c>
      <c r="H177" s="1389">
        <f t="shared" si="17"/>
        <v>2750000</v>
      </c>
      <c r="I177" s="1389">
        <f t="shared" si="17"/>
        <v>2750000</v>
      </c>
      <c r="J177" s="1389">
        <f>J174</f>
        <v>11000000</v>
      </c>
      <c r="K177" s="775"/>
      <c r="L177" s="293"/>
    </row>
    <row r="178" spans="2:12" ht="28.2" thickBot="1" x14ac:dyDescent="0.35">
      <c r="B178" s="341"/>
      <c r="C178" s="966" t="s">
        <v>317</v>
      </c>
      <c r="D178" s="747"/>
      <c r="E178" s="760"/>
      <c r="F178" s="843">
        <f t="shared" ref="F178:K178" si="18">F157+F170+F177</f>
        <v>17840216.350000001</v>
      </c>
      <c r="G178" s="843">
        <f t="shared" si="18"/>
        <v>2750000</v>
      </c>
      <c r="H178" s="843">
        <f t="shared" si="18"/>
        <v>2750000</v>
      </c>
      <c r="I178" s="843">
        <f t="shared" si="18"/>
        <v>2750000</v>
      </c>
      <c r="J178" s="843">
        <f t="shared" si="18"/>
        <v>26090216.350000001</v>
      </c>
      <c r="K178" s="780">
        <f t="shared" si="18"/>
        <v>0</v>
      </c>
      <c r="L178" s="293"/>
    </row>
    <row r="179" spans="2:12" thickBot="1" x14ac:dyDescent="0.35">
      <c r="B179" s="358"/>
      <c r="C179" s="968" t="s">
        <v>318</v>
      </c>
      <c r="D179" s="1004"/>
      <c r="E179" s="1034"/>
      <c r="F179" s="359">
        <f t="shared" ref="F179:K179" si="19">F131+F178</f>
        <v>17840216.350000001</v>
      </c>
      <c r="G179" s="359">
        <f t="shared" si="19"/>
        <v>26232248.090000004</v>
      </c>
      <c r="H179" s="359">
        <f t="shared" si="19"/>
        <v>49714496.180000007</v>
      </c>
      <c r="I179" s="359">
        <f t="shared" si="19"/>
        <v>26232248.090000004</v>
      </c>
      <c r="J179" s="359">
        <f t="shared" si="19"/>
        <v>120019208.71000001</v>
      </c>
      <c r="K179" s="781">
        <f t="shared" si="19"/>
        <v>0</v>
      </c>
      <c r="L179" s="293"/>
    </row>
    <row r="180" spans="2:12" ht="16.2" thickBot="1" x14ac:dyDescent="0.35">
      <c r="B180" s="360" t="s">
        <v>2</v>
      </c>
      <c r="C180" s="969" t="s">
        <v>162</v>
      </c>
      <c r="D180" s="1006"/>
      <c r="E180" s="1036"/>
      <c r="F180" s="824"/>
      <c r="G180" s="748"/>
      <c r="H180" s="748"/>
      <c r="I180" s="805"/>
      <c r="J180" s="363"/>
      <c r="K180" s="782"/>
      <c r="L180" s="293"/>
    </row>
    <row r="181" spans="2:12" ht="31.2" x14ac:dyDescent="0.3">
      <c r="B181" s="1083"/>
      <c r="C181" s="1096" t="s">
        <v>319</v>
      </c>
      <c r="D181" s="1097"/>
      <c r="E181" s="1098"/>
      <c r="F181" s="1099"/>
      <c r="G181" s="1100"/>
      <c r="H181" s="1100"/>
      <c r="I181" s="1101"/>
      <c r="J181" s="1086"/>
      <c r="K181" s="1102"/>
      <c r="L181" s="293"/>
    </row>
    <row r="182" spans="2:12" ht="31.2" x14ac:dyDescent="0.3">
      <c r="B182" s="689"/>
      <c r="C182" s="1096" t="s">
        <v>701</v>
      </c>
      <c r="D182" s="1103"/>
      <c r="E182" s="1103"/>
      <c r="F182" s="1104"/>
      <c r="G182" s="1091"/>
      <c r="H182" s="1091"/>
      <c r="I182" s="804"/>
      <c r="J182" s="1092"/>
      <c r="K182" s="1093"/>
      <c r="L182" s="293"/>
    </row>
    <row r="183" spans="2:12" ht="31.8" thickBot="1" x14ac:dyDescent="0.35">
      <c r="B183" s="1349"/>
      <c r="C183" s="1096" t="s">
        <v>702</v>
      </c>
      <c r="D183" s="1350"/>
      <c r="E183" s="1351"/>
      <c r="F183" s="1104"/>
      <c r="G183" s="1091"/>
      <c r="H183" s="1091"/>
      <c r="I183" s="804"/>
      <c r="J183" s="1352"/>
      <c r="K183" s="1093"/>
      <c r="L183" s="293"/>
    </row>
    <row r="184" spans="2:12" thickBot="1" x14ac:dyDescent="0.35">
      <c r="B184" s="2079" t="s">
        <v>185</v>
      </c>
      <c r="C184" s="2107" t="s">
        <v>1053</v>
      </c>
      <c r="D184" s="2100" t="s">
        <v>30</v>
      </c>
      <c r="E184" s="1031" t="s">
        <v>3</v>
      </c>
      <c r="F184" s="833"/>
      <c r="G184" s="997">
        <f>J184*0.25</f>
        <v>0.25</v>
      </c>
      <c r="H184" s="997">
        <f>J184*0.5</f>
        <v>0.5</v>
      </c>
      <c r="I184" s="702">
        <f>J184*0.25</f>
        <v>0.25</v>
      </c>
      <c r="J184" s="396">
        <v>1</v>
      </c>
      <c r="K184" s="1093"/>
      <c r="L184" s="293"/>
    </row>
    <row r="185" spans="2:12" thickBot="1" x14ac:dyDescent="0.35">
      <c r="B185" s="2080"/>
      <c r="C185" s="2108"/>
      <c r="D185" s="2101"/>
      <c r="E185" s="1031" t="s">
        <v>11</v>
      </c>
      <c r="F185" s="833"/>
      <c r="G185" s="997">
        <f>J185*0.25</f>
        <v>0</v>
      </c>
      <c r="H185" s="997">
        <f>J185*0.5</f>
        <v>0</v>
      </c>
      <c r="I185" s="702">
        <f>J185*0.25</f>
        <v>0</v>
      </c>
      <c r="J185" s="396"/>
      <c r="K185" s="1093"/>
      <c r="L185" s="293"/>
    </row>
    <row r="186" spans="2:12" thickBot="1" x14ac:dyDescent="0.35">
      <c r="B186" s="2081"/>
      <c r="C186" s="2109"/>
      <c r="D186" s="2102"/>
      <c r="E186" s="1031" t="s">
        <v>23</v>
      </c>
      <c r="F186" s="833"/>
      <c r="G186" s="997">
        <f>J186*0.25</f>
        <v>1250000</v>
      </c>
      <c r="H186" s="997">
        <f>J186*0.5</f>
        <v>2500000</v>
      </c>
      <c r="I186" s="702">
        <f>J186*0.25</f>
        <v>1250000</v>
      </c>
      <c r="J186" s="396">
        <v>5000000</v>
      </c>
      <c r="K186" s="1093"/>
      <c r="L186" s="293"/>
    </row>
    <row r="187" spans="2:12" ht="31.2" x14ac:dyDescent="0.3">
      <c r="B187" s="689"/>
      <c r="C187" s="1096" t="s">
        <v>778</v>
      </c>
      <c r="D187" s="1103"/>
      <c r="E187" s="1103"/>
      <c r="F187" s="1092">
        <f>F186</f>
        <v>0</v>
      </c>
      <c r="G187" s="1092">
        <f t="shared" ref="G187:I187" si="20">G186</f>
        <v>1250000</v>
      </c>
      <c r="H187" s="1092">
        <f t="shared" si="20"/>
        <v>2500000</v>
      </c>
      <c r="I187" s="1092">
        <f t="shared" si="20"/>
        <v>1250000</v>
      </c>
      <c r="J187" s="1092">
        <f>J186</f>
        <v>5000000</v>
      </c>
      <c r="K187" s="1093"/>
      <c r="L187" s="293"/>
    </row>
    <row r="188" spans="2:12" ht="31.2" x14ac:dyDescent="0.3">
      <c r="B188" s="369"/>
      <c r="C188" s="970" t="s">
        <v>320</v>
      </c>
      <c r="D188" s="1007"/>
      <c r="E188" s="1037"/>
      <c r="F188" s="741">
        <f>F182+F187</f>
        <v>0</v>
      </c>
      <c r="G188" s="741">
        <f t="shared" ref="G188:I188" si="21">G182+G187</f>
        <v>1250000</v>
      </c>
      <c r="H188" s="741">
        <f t="shared" si="21"/>
        <v>2500000</v>
      </c>
      <c r="I188" s="741">
        <f t="shared" si="21"/>
        <v>1250000</v>
      </c>
      <c r="J188" s="741">
        <f>J182+J187</f>
        <v>5000000</v>
      </c>
      <c r="K188" s="369"/>
      <c r="L188" s="293"/>
    </row>
    <row r="189" spans="2:12" ht="15.6" x14ac:dyDescent="0.3">
      <c r="B189" s="698" t="s">
        <v>165</v>
      </c>
      <c r="C189" s="971" t="s">
        <v>143</v>
      </c>
      <c r="D189" s="1008"/>
      <c r="E189" s="1038"/>
      <c r="F189" s="835"/>
      <c r="G189" s="698"/>
      <c r="H189" s="698"/>
      <c r="I189" s="807"/>
      <c r="J189" s="742"/>
      <c r="K189" s="698"/>
      <c r="L189" s="293"/>
    </row>
    <row r="190" spans="2:12" ht="15.6" x14ac:dyDescent="0.3">
      <c r="B190" s="699"/>
      <c r="C190" s="972" t="s">
        <v>546</v>
      </c>
      <c r="D190" s="1009"/>
      <c r="E190" s="1039"/>
      <c r="F190" s="828"/>
      <c r="G190" s="699"/>
      <c r="H190" s="699"/>
      <c r="I190" s="808"/>
      <c r="J190" s="743"/>
      <c r="K190" s="699"/>
      <c r="L190" s="293"/>
    </row>
    <row r="191" spans="2:12" s="318" customFormat="1" ht="15.6" x14ac:dyDescent="0.3">
      <c r="B191" s="700"/>
      <c r="C191" s="973" t="s">
        <v>1043</v>
      </c>
      <c r="D191" s="1010"/>
      <c r="E191" s="1040"/>
      <c r="F191" s="836"/>
      <c r="G191" s="700"/>
      <c r="H191" s="700"/>
      <c r="I191" s="809"/>
      <c r="J191" s="736"/>
      <c r="K191" s="700"/>
      <c r="L191" s="317"/>
    </row>
    <row r="192" spans="2:12" s="318" customFormat="1" ht="15.6" x14ac:dyDescent="0.3">
      <c r="B192" s="2104">
        <v>1.1000000000000001</v>
      </c>
      <c r="C192" s="2174" t="s">
        <v>749</v>
      </c>
      <c r="D192" s="2085" t="s">
        <v>22</v>
      </c>
      <c r="E192" s="1031" t="s">
        <v>3</v>
      </c>
      <c r="F192" s="833"/>
      <c r="G192" s="997"/>
      <c r="H192" s="997"/>
      <c r="I192" s="702"/>
      <c r="J192" s="737"/>
      <c r="K192" s="700"/>
      <c r="L192" s="317"/>
    </row>
    <row r="193" spans="2:12" s="318" customFormat="1" ht="15.6" x14ac:dyDescent="0.3">
      <c r="B193" s="2105"/>
      <c r="C193" s="2175"/>
      <c r="D193" s="2085"/>
      <c r="E193" s="1031" t="s">
        <v>11</v>
      </c>
      <c r="F193" s="833"/>
      <c r="G193" s="997">
        <f t="shared" ref="G193:G197" si="22">J193*0.25</f>
        <v>2</v>
      </c>
      <c r="H193" s="997">
        <f t="shared" ref="H193:H197" si="23">J193*0.5</f>
        <v>4</v>
      </c>
      <c r="I193" s="702">
        <f t="shared" ref="I193:I197" si="24">J193*0.25</f>
        <v>2</v>
      </c>
      <c r="J193" s="736">
        <v>8</v>
      </c>
      <c r="K193" s="700"/>
      <c r="L193" s="317"/>
    </row>
    <row r="194" spans="2:12" ht="13.8" x14ac:dyDescent="0.3">
      <c r="B194" s="2106"/>
      <c r="C194" s="2176"/>
      <c r="D194" s="2085"/>
      <c r="E194" s="1031" t="s">
        <v>23</v>
      </c>
      <c r="F194" s="833"/>
      <c r="G194" s="997">
        <f t="shared" si="22"/>
        <v>855702.92249999999</v>
      </c>
      <c r="H194" s="997">
        <f t="shared" si="23"/>
        <v>1711405.845</v>
      </c>
      <c r="I194" s="702">
        <f t="shared" si="24"/>
        <v>855702.92249999999</v>
      </c>
      <c r="J194" s="737">
        <f>'16. APP UIIDP'!H163</f>
        <v>3422811.69</v>
      </c>
      <c r="K194" s="702"/>
      <c r="L194" s="293"/>
    </row>
    <row r="195" spans="2:12" ht="14.4" customHeight="1" x14ac:dyDescent="0.3">
      <c r="B195" s="2104"/>
      <c r="C195" s="2110" t="s">
        <v>1044</v>
      </c>
      <c r="D195" s="2085" t="s">
        <v>22</v>
      </c>
      <c r="E195" s="1031" t="s">
        <v>3</v>
      </c>
      <c r="F195" s="833"/>
      <c r="G195" s="997">
        <f t="shared" si="22"/>
        <v>0</v>
      </c>
      <c r="H195" s="997">
        <f t="shared" si="23"/>
        <v>0</v>
      </c>
      <c r="I195" s="702">
        <f t="shared" si="24"/>
        <v>0</v>
      </c>
      <c r="J195" s="741">
        <f>J192</f>
        <v>0</v>
      </c>
      <c r="K195" s="702"/>
      <c r="L195" s="293"/>
    </row>
    <row r="196" spans="2:12" ht="13.8" x14ac:dyDescent="0.3">
      <c r="B196" s="2105"/>
      <c r="C196" s="2111"/>
      <c r="D196" s="2085"/>
      <c r="E196" s="1031" t="s">
        <v>11</v>
      </c>
      <c r="F196" s="833"/>
      <c r="G196" s="997">
        <f t="shared" si="22"/>
        <v>2</v>
      </c>
      <c r="H196" s="997">
        <f t="shared" si="23"/>
        <v>4</v>
      </c>
      <c r="I196" s="702">
        <f t="shared" si="24"/>
        <v>2</v>
      </c>
      <c r="J196" s="737">
        <f>J193</f>
        <v>8</v>
      </c>
      <c r="K196" s="702"/>
      <c r="L196" s="293"/>
    </row>
    <row r="197" spans="2:12" ht="15.6" x14ac:dyDescent="0.3">
      <c r="B197" s="2106"/>
      <c r="C197" s="2112"/>
      <c r="D197" s="2085"/>
      <c r="E197" s="1031" t="s">
        <v>23</v>
      </c>
      <c r="F197" s="833"/>
      <c r="G197" s="997">
        <f t="shared" si="22"/>
        <v>855702.92249999999</v>
      </c>
      <c r="H197" s="997">
        <f t="shared" si="23"/>
        <v>1711405.845</v>
      </c>
      <c r="I197" s="702">
        <f t="shared" si="24"/>
        <v>855702.92249999999</v>
      </c>
      <c r="J197" s="741">
        <f>J194</f>
        <v>3422811.69</v>
      </c>
      <c r="K197" s="369">
        <f>K194</f>
        <v>0</v>
      </c>
      <c r="L197" s="293"/>
    </row>
    <row r="198" spans="2:12" s="318" customFormat="1" ht="15.6" x14ac:dyDescent="0.3">
      <c r="B198" s="700"/>
      <c r="C198" s="973" t="s">
        <v>790</v>
      </c>
      <c r="D198" s="1010"/>
      <c r="E198" s="1040"/>
      <c r="F198" s="836"/>
      <c r="G198" s="700"/>
      <c r="H198" s="700"/>
      <c r="I198" s="809"/>
      <c r="J198" s="736"/>
      <c r="K198" s="700"/>
      <c r="L198" s="317"/>
    </row>
    <row r="199" spans="2:12" s="318" customFormat="1" ht="15.6" customHeight="1" x14ac:dyDescent="0.3">
      <c r="B199" s="2104">
        <v>1.1000000000000001</v>
      </c>
      <c r="C199" s="2098" t="s">
        <v>751</v>
      </c>
      <c r="D199" s="2085" t="s">
        <v>22</v>
      </c>
      <c r="E199" s="1031" t="s">
        <v>3</v>
      </c>
      <c r="F199" s="833"/>
      <c r="G199" s="997"/>
      <c r="H199" s="997"/>
      <c r="I199" s="702"/>
      <c r="J199" s="737"/>
      <c r="K199" s="700"/>
      <c r="L199" s="317"/>
    </row>
    <row r="200" spans="2:12" s="318" customFormat="1" ht="15.6" x14ac:dyDescent="0.3">
      <c r="B200" s="2105"/>
      <c r="C200" s="2098"/>
      <c r="D200" s="2085"/>
      <c r="E200" s="1031" t="s">
        <v>11</v>
      </c>
      <c r="F200" s="833"/>
      <c r="G200" s="997">
        <f t="shared" ref="G200:G203" si="25">J200*0.25</f>
        <v>0.86250000000000004</v>
      </c>
      <c r="H200" s="997">
        <f t="shared" ref="H200:H203" si="26">J200*0.5</f>
        <v>1.7250000000000001</v>
      </c>
      <c r="I200" s="702">
        <f t="shared" ref="I200:I203" si="27">J200*0.25</f>
        <v>0.86250000000000004</v>
      </c>
      <c r="J200" s="736">
        <v>3.45</v>
      </c>
      <c r="K200" s="700"/>
      <c r="L200" s="317"/>
    </row>
    <row r="201" spans="2:12" ht="13.8" x14ac:dyDescent="0.3">
      <c r="B201" s="2106"/>
      <c r="C201" s="2098"/>
      <c r="D201" s="2085"/>
      <c r="E201" s="1031" t="s">
        <v>23</v>
      </c>
      <c r="F201" s="833"/>
      <c r="G201" s="997">
        <f t="shared" si="25"/>
        <v>250000</v>
      </c>
      <c r="H201" s="997">
        <f t="shared" si="26"/>
        <v>500000</v>
      </c>
      <c r="I201" s="702">
        <f t="shared" si="27"/>
        <v>250000</v>
      </c>
      <c r="J201" s="737">
        <f>'16. APP UIIDP'!H173</f>
        <v>1000000</v>
      </c>
      <c r="K201" s="702"/>
      <c r="L201" s="293"/>
    </row>
    <row r="202" spans="2:12" ht="14.4" customHeight="1" x14ac:dyDescent="0.3">
      <c r="B202" s="2104"/>
      <c r="C202" s="2110" t="s">
        <v>791</v>
      </c>
      <c r="D202" s="2085" t="s">
        <v>22</v>
      </c>
      <c r="E202" s="1031" t="s">
        <v>3</v>
      </c>
      <c r="F202" s="833"/>
      <c r="G202" s="997">
        <f t="shared" si="25"/>
        <v>0.86250000000000004</v>
      </c>
      <c r="H202" s="997">
        <f t="shared" si="26"/>
        <v>1.7250000000000001</v>
      </c>
      <c r="I202" s="702">
        <f t="shared" si="27"/>
        <v>0.86250000000000004</v>
      </c>
      <c r="J202" s="741">
        <f>J200</f>
        <v>3.45</v>
      </c>
      <c r="K202" s="702"/>
      <c r="L202" s="293"/>
    </row>
    <row r="203" spans="2:12" ht="13.8" x14ac:dyDescent="0.3">
      <c r="B203" s="2105"/>
      <c r="C203" s="2111"/>
      <c r="D203" s="2085"/>
      <c r="E203" s="1031" t="s">
        <v>11</v>
      </c>
      <c r="F203" s="833"/>
      <c r="G203" s="997">
        <f t="shared" si="25"/>
        <v>0</v>
      </c>
      <c r="H203" s="997">
        <f t="shared" si="26"/>
        <v>0</v>
      </c>
      <c r="I203" s="702">
        <f t="shared" si="27"/>
        <v>0</v>
      </c>
      <c r="J203" s="737"/>
      <c r="K203" s="702"/>
      <c r="L203" s="293"/>
    </row>
    <row r="204" spans="2:12" ht="15.6" x14ac:dyDescent="0.3">
      <c r="B204" s="2106"/>
      <c r="C204" s="2112"/>
      <c r="D204" s="2085"/>
      <c r="E204" s="1031" t="s">
        <v>23</v>
      </c>
      <c r="F204" s="833"/>
      <c r="G204" s="741">
        <f t="shared" ref="G204:I204" si="28">G201</f>
        <v>250000</v>
      </c>
      <c r="H204" s="741">
        <f t="shared" si="28"/>
        <v>500000</v>
      </c>
      <c r="I204" s="741">
        <f t="shared" si="28"/>
        <v>250000</v>
      </c>
      <c r="J204" s="741">
        <f>J201</f>
        <v>1000000</v>
      </c>
      <c r="K204" s="369">
        <f>K201</f>
        <v>0</v>
      </c>
      <c r="L204" s="293"/>
    </row>
    <row r="205" spans="2:12" s="1353" customFormat="1" ht="31.2" x14ac:dyDescent="0.3">
      <c r="B205" s="370"/>
      <c r="C205" s="974" t="s">
        <v>329</v>
      </c>
      <c r="D205" s="1011"/>
      <c r="E205" s="1041"/>
      <c r="F205" s="992">
        <f t="shared" ref="F205:I205" si="29">F188+F179+F197+F204</f>
        <v>17840216.350000001</v>
      </c>
      <c r="G205" s="992">
        <f t="shared" si="29"/>
        <v>28587951.012500003</v>
      </c>
      <c r="H205" s="992">
        <f t="shared" si="29"/>
        <v>54425902.025000006</v>
      </c>
      <c r="I205" s="992">
        <f t="shared" si="29"/>
        <v>28587951.012500003</v>
      </c>
      <c r="J205" s="992">
        <f>J188+J179+J197+J204</f>
        <v>129442020.40000001</v>
      </c>
      <c r="K205" s="370">
        <f>K188+K179+K197</f>
        <v>0</v>
      </c>
      <c r="L205" s="1358"/>
    </row>
    <row r="206" spans="2:12" ht="15.6" x14ac:dyDescent="0.3">
      <c r="B206" s="371"/>
      <c r="C206" s="2056" t="s">
        <v>330</v>
      </c>
      <c r="D206" s="2057"/>
      <c r="E206" s="2057"/>
      <c r="F206" s="2057"/>
      <c r="G206" s="2057"/>
      <c r="H206" s="2057"/>
      <c r="I206" s="2057"/>
      <c r="J206" s="2057"/>
      <c r="K206" s="372"/>
      <c r="L206" s="293"/>
    </row>
    <row r="207" spans="2:12" ht="27.6" x14ac:dyDescent="0.3">
      <c r="B207" s="373" t="s">
        <v>161</v>
      </c>
      <c r="C207" s="975" t="s">
        <v>321</v>
      </c>
      <c r="D207" s="1012"/>
      <c r="E207" s="1042"/>
      <c r="F207" s="825"/>
      <c r="G207" s="752"/>
      <c r="H207" s="752"/>
      <c r="I207" s="810"/>
      <c r="J207" s="375"/>
      <c r="K207" s="376"/>
      <c r="L207" s="293"/>
    </row>
    <row r="208" spans="2:12" ht="15" thickBot="1" x14ac:dyDescent="0.35">
      <c r="B208" s="378">
        <v>1.2</v>
      </c>
      <c r="C208" s="976" t="s">
        <v>280</v>
      </c>
      <c r="D208" s="1013"/>
      <c r="E208" s="1043"/>
      <c r="F208" s="826"/>
      <c r="G208" s="749"/>
      <c r="H208" s="749"/>
      <c r="I208" s="811"/>
      <c r="J208" s="381"/>
      <c r="K208" s="783"/>
      <c r="L208" s="293"/>
    </row>
    <row r="209" spans="2:12" s="693" customFormat="1" ht="15" customHeight="1" thickBot="1" x14ac:dyDescent="0.35">
      <c r="B209" s="2079" t="s">
        <v>178</v>
      </c>
      <c r="C209" s="2099" t="s">
        <v>733</v>
      </c>
      <c r="D209" s="2100" t="s">
        <v>22</v>
      </c>
      <c r="E209" s="1031" t="s">
        <v>97</v>
      </c>
      <c r="F209" s="833"/>
      <c r="G209" s="997">
        <f t="shared" ref="G209:G244" si="30">J209*0.25</f>
        <v>103</v>
      </c>
      <c r="H209" s="997">
        <f t="shared" ref="H209:H244" si="31">J209*0.5</f>
        <v>206</v>
      </c>
      <c r="I209" s="998">
        <f t="shared" ref="I209:I244" si="32">J209*0.25</f>
        <v>103</v>
      </c>
      <c r="J209" s="310">
        <f>'16. APP UIIDP'!D106</f>
        <v>412</v>
      </c>
      <c r="K209" s="771"/>
      <c r="L209" s="692"/>
    </row>
    <row r="210" spans="2:12" s="693" customFormat="1" ht="15" customHeight="1" thickBot="1" x14ac:dyDescent="0.35">
      <c r="B210" s="2080"/>
      <c r="C210" s="2099"/>
      <c r="D210" s="2101"/>
      <c r="E210" s="1031" t="s">
        <v>11</v>
      </c>
      <c r="F210" s="833"/>
      <c r="G210" s="997">
        <f t="shared" si="30"/>
        <v>0</v>
      </c>
      <c r="H210" s="997">
        <f t="shared" si="31"/>
        <v>0</v>
      </c>
      <c r="I210" s="998">
        <f t="shared" si="32"/>
        <v>0</v>
      </c>
      <c r="J210" s="691"/>
      <c r="K210" s="771"/>
      <c r="L210" s="692"/>
    </row>
    <row r="211" spans="2:12" ht="15" customHeight="1" thickBot="1" x14ac:dyDescent="0.35">
      <c r="B211" s="2081"/>
      <c r="C211" s="2099"/>
      <c r="D211" s="2102"/>
      <c r="E211" s="1031" t="s">
        <v>23</v>
      </c>
      <c r="F211" s="833"/>
      <c r="G211" s="997">
        <f t="shared" si="30"/>
        <v>386003.64500000002</v>
      </c>
      <c r="H211" s="997">
        <f t="shared" si="31"/>
        <v>772007.29</v>
      </c>
      <c r="I211" s="998">
        <f t="shared" si="32"/>
        <v>386003.64500000002</v>
      </c>
      <c r="J211" s="921">
        <f>'16. APP UIIDP'!G106</f>
        <v>1544014.58</v>
      </c>
      <c r="K211" s="768"/>
      <c r="L211" s="293"/>
    </row>
    <row r="212" spans="2:12" s="693" customFormat="1" ht="15" customHeight="1" thickBot="1" x14ac:dyDescent="0.35">
      <c r="B212" s="2079" t="s">
        <v>179</v>
      </c>
      <c r="C212" s="2103" t="s">
        <v>734</v>
      </c>
      <c r="D212" s="2100" t="s">
        <v>22</v>
      </c>
      <c r="E212" s="1031" t="s">
        <v>97</v>
      </c>
      <c r="F212" s="833"/>
      <c r="G212" s="997">
        <f t="shared" si="30"/>
        <v>70</v>
      </c>
      <c r="H212" s="997">
        <f t="shared" si="31"/>
        <v>140</v>
      </c>
      <c r="I212" s="998">
        <f t="shared" si="32"/>
        <v>70</v>
      </c>
      <c r="J212" s="310">
        <f>'16. APP UIIDP'!D109</f>
        <v>280</v>
      </c>
      <c r="K212" s="771"/>
      <c r="L212" s="692"/>
    </row>
    <row r="213" spans="2:12" s="693" customFormat="1" ht="15" customHeight="1" thickBot="1" x14ac:dyDescent="0.35">
      <c r="B213" s="2080"/>
      <c r="C213" s="2103"/>
      <c r="D213" s="2101"/>
      <c r="E213" s="1031" t="s">
        <v>11</v>
      </c>
      <c r="F213" s="833"/>
      <c r="G213" s="997">
        <f t="shared" si="30"/>
        <v>0</v>
      </c>
      <c r="H213" s="997">
        <f t="shared" si="31"/>
        <v>0</v>
      </c>
      <c r="I213" s="998">
        <f t="shared" si="32"/>
        <v>0</v>
      </c>
      <c r="J213" s="691"/>
      <c r="K213" s="771"/>
      <c r="L213" s="692"/>
    </row>
    <row r="214" spans="2:12" ht="15" customHeight="1" thickBot="1" x14ac:dyDescent="0.35">
      <c r="B214" s="2081"/>
      <c r="C214" s="2103"/>
      <c r="D214" s="2102"/>
      <c r="E214" s="1031" t="s">
        <v>23</v>
      </c>
      <c r="F214" s="833"/>
      <c r="G214" s="997">
        <f t="shared" si="30"/>
        <v>257604.22750000001</v>
      </c>
      <c r="H214" s="997">
        <f t="shared" si="31"/>
        <v>515208.45500000002</v>
      </c>
      <c r="I214" s="998">
        <f t="shared" si="32"/>
        <v>257604.22750000001</v>
      </c>
      <c r="J214" s="921">
        <f>'16. APP UIIDP'!G109</f>
        <v>1030416.91</v>
      </c>
      <c r="K214" s="768"/>
      <c r="L214" s="293"/>
    </row>
    <row r="215" spans="2:12" s="693" customFormat="1" ht="15" customHeight="1" thickBot="1" x14ac:dyDescent="0.35">
      <c r="B215" s="2079" t="s">
        <v>281</v>
      </c>
      <c r="C215" s="2099" t="s">
        <v>735</v>
      </c>
      <c r="D215" s="2100" t="s">
        <v>22</v>
      </c>
      <c r="E215" s="1031" t="s">
        <v>97</v>
      </c>
      <c r="F215" s="833"/>
      <c r="G215" s="997">
        <f t="shared" si="30"/>
        <v>33.5</v>
      </c>
      <c r="H215" s="997">
        <f t="shared" si="31"/>
        <v>67</v>
      </c>
      <c r="I215" s="998">
        <f t="shared" si="32"/>
        <v>33.5</v>
      </c>
      <c r="J215" s="310">
        <f>'16. APP UIIDP'!D112</f>
        <v>134</v>
      </c>
      <c r="K215" s="771"/>
      <c r="L215" s="692"/>
    </row>
    <row r="216" spans="2:12" s="693" customFormat="1" ht="15" customHeight="1" thickBot="1" x14ac:dyDescent="0.35">
      <c r="B216" s="2080"/>
      <c r="C216" s="2099"/>
      <c r="D216" s="2101"/>
      <c r="E216" s="1031" t="s">
        <v>11</v>
      </c>
      <c r="F216" s="833"/>
      <c r="G216" s="997">
        <f t="shared" si="30"/>
        <v>0</v>
      </c>
      <c r="H216" s="997">
        <f t="shared" si="31"/>
        <v>0</v>
      </c>
      <c r="I216" s="998">
        <f t="shared" si="32"/>
        <v>0</v>
      </c>
      <c r="J216" s="691"/>
      <c r="K216" s="771"/>
      <c r="L216" s="692"/>
    </row>
    <row r="217" spans="2:12" ht="15" customHeight="1" thickBot="1" x14ac:dyDescent="0.35">
      <c r="B217" s="2081"/>
      <c r="C217" s="2099"/>
      <c r="D217" s="2102"/>
      <c r="E217" s="1031" t="s">
        <v>23</v>
      </c>
      <c r="F217" s="833"/>
      <c r="G217" s="997">
        <f t="shared" si="30"/>
        <v>144220.70499999999</v>
      </c>
      <c r="H217" s="997">
        <f t="shared" si="31"/>
        <v>288441.40999999997</v>
      </c>
      <c r="I217" s="998">
        <f t="shared" si="32"/>
        <v>144220.70499999999</v>
      </c>
      <c r="J217" s="921">
        <f>'16. APP UIIDP'!G112</f>
        <v>576882.81999999995</v>
      </c>
      <c r="K217" s="768"/>
      <c r="L217" s="293"/>
    </row>
    <row r="218" spans="2:12" s="693" customFormat="1" ht="15" customHeight="1" thickBot="1" x14ac:dyDescent="0.35">
      <c r="B218" s="2079" t="s">
        <v>596</v>
      </c>
      <c r="C218" s="2089" t="s">
        <v>736</v>
      </c>
      <c r="D218" s="2100" t="s">
        <v>22</v>
      </c>
      <c r="E218" s="1031" t="s">
        <v>97</v>
      </c>
      <c r="F218" s="833"/>
      <c r="G218" s="997">
        <f t="shared" si="30"/>
        <v>42.5</v>
      </c>
      <c r="H218" s="997">
        <f t="shared" si="31"/>
        <v>85</v>
      </c>
      <c r="I218" s="998">
        <f t="shared" si="32"/>
        <v>42.5</v>
      </c>
      <c r="J218" s="310">
        <f>'16. APP UIIDP'!D115</f>
        <v>170</v>
      </c>
      <c r="K218" s="771"/>
      <c r="L218" s="692"/>
    </row>
    <row r="219" spans="2:12" s="693" customFormat="1" ht="15" customHeight="1" thickBot="1" x14ac:dyDescent="0.35">
      <c r="B219" s="2080"/>
      <c r="C219" s="2090"/>
      <c r="D219" s="2101"/>
      <c r="E219" s="1031" t="s">
        <v>11</v>
      </c>
      <c r="F219" s="833"/>
      <c r="G219" s="997">
        <f t="shared" si="30"/>
        <v>0</v>
      </c>
      <c r="H219" s="997">
        <f t="shared" si="31"/>
        <v>0</v>
      </c>
      <c r="I219" s="998">
        <f t="shared" si="32"/>
        <v>0</v>
      </c>
      <c r="J219" s="691"/>
      <c r="K219" s="771"/>
      <c r="L219" s="692"/>
    </row>
    <row r="220" spans="2:12" ht="15" customHeight="1" thickBot="1" x14ac:dyDescent="0.35">
      <c r="B220" s="2081"/>
      <c r="C220" s="2091"/>
      <c r="D220" s="2102"/>
      <c r="E220" s="1031" t="s">
        <v>23</v>
      </c>
      <c r="F220" s="833"/>
      <c r="G220" s="997">
        <f t="shared" si="30"/>
        <v>172069.4075</v>
      </c>
      <c r="H220" s="997">
        <f t="shared" si="31"/>
        <v>344138.815</v>
      </c>
      <c r="I220" s="998">
        <f t="shared" si="32"/>
        <v>172069.4075</v>
      </c>
      <c r="J220" s="921">
        <f>'16. APP UIIDP'!G115</f>
        <v>688277.63</v>
      </c>
      <c r="K220" s="768"/>
      <c r="L220" s="293"/>
    </row>
    <row r="221" spans="2:12" s="693" customFormat="1" ht="15" customHeight="1" thickBot="1" x14ac:dyDescent="0.35">
      <c r="B221" s="2079" t="s">
        <v>767</v>
      </c>
      <c r="C221" s="2099" t="s">
        <v>737</v>
      </c>
      <c r="D221" s="2100" t="s">
        <v>22</v>
      </c>
      <c r="E221" s="1031" t="s">
        <v>97</v>
      </c>
      <c r="F221" s="833"/>
      <c r="G221" s="997">
        <f t="shared" si="30"/>
        <v>77.5</v>
      </c>
      <c r="H221" s="997">
        <f t="shared" si="31"/>
        <v>155</v>
      </c>
      <c r="I221" s="998">
        <f t="shared" si="32"/>
        <v>77.5</v>
      </c>
      <c r="J221" s="310">
        <f>'16. APP UIIDP'!D118</f>
        <v>310</v>
      </c>
      <c r="K221" s="771"/>
      <c r="L221" s="692"/>
    </row>
    <row r="222" spans="2:12" s="693" customFormat="1" ht="15" customHeight="1" thickBot="1" x14ac:dyDescent="0.35">
      <c r="B222" s="2080"/>
      <c r="C222" s="2099"/>
      <c r="D222" s="2101"/>
      <c r="E222" s="1031" t="s">
        <v>11</v>
      </c>
      <c r="F222" s="833"/>
      <c r="G222" s="997">
        <f t="shared" si="30"/>
        <v>0</v>
      </c>
      <c r="H222" s="997">
        <f t="shared" si="31"/>
        <v>0</v>
      </c>
      <c r="I222" s="998">
        <f t="shared" si="32"/>
        <v>0</v>
      </c>
      <c r="J222" s="691"/>
      <c r="K222" s="771"/>
      <c r="L222" s="692"/>
    </row>
    <row r="223" spans="2:12" ht="15" customHeight="1" thickBot="1" x14ac:dyDescent="0.35">
      <c r="B223" s="2081"/>
      <c r="C223" s="2099"/>
      <c r="D223" s="2102"/>
      <c r="E223" s="1031" t="s">
        <v>23</v>
      </c>
      <c r="F223" s="833"/>
      <c r="G223" s="997">
        <f t="shared" si="30"/>
        <v>279928.36249999999</v>
      </c>
      <c r="H223" s="997">
        <f t="shared" si="31"/>
        <v>559856.72499999998</v>
      </c>
      <c r="I223" s="998">
        <f t="shared" si="32"/>
        <v>279928.36249999999</v>
      </c>
      <c r="J223" s="921">
        <f>'16. APP UIIDP'!G118</f>
        <v>1119713.45</v>
      </c>
      <c r="K223" s="768"/>
      <c r="L223" s="293"/>
    </row>
    <row r="224" spans="2:12" s="693" customFormat="1" ht="15" customHeight="1" thickBot="1" x14ac:dyDescent="0.35">
      <c r="B224" s="2079" t="s">
        <v>768</v>
      </c>
      <c r="C224" s="2099" t="s">
        <v>738</v>
      </c>
      <c r="D224" s="2100" t="s">
        <v>22</v>
      </c>
      <c r="E224" s="1031" t="s">
        <v>97</v>
      </c>
      <c r="F224" s="833"/>
      <c r="G224" s="997">
        <f t="shared" si="30"/>
        <v>87.5</v>
      </c>
      <c r="H224" s="997">
        <f t="shared" si="31"/>
        <v>175</v>
      </c>
      <c r="I224" s="998">
        <f t="shared" si="32"/>
        <v>87.5</v>
      </c>
      <c r="J224" s="310">
        <f>'16. APP UIIDP'!D121</f>
        <v>350</v>
      </c>
      <c r="K224" s="771"/>
      <c r="L224" s="692"/>
    </row>
    <row r="225" spans="2:12" s="693" customFormat="1" ht="15" customHeight="1" thickBot="1" x14ac:dyDescent="0.35">
      <c r="B225" s="2080"/>
      <c r="C225" s="2099"/>
      <c r="D225" s="2101"/>
      <c r="E225" s="1031" t="s">
        <v>11</v>
      </c>
      <c r="F225" s="833"/>
      <c r="G225" s="997">
        <f t="shared" si="30"/>
        <v>0</v>
      </c>
      <c r="H225" s="997">
        <f t="shared" si="31"/>
        <v>0</v>
      </c>
      <c r="I225" s="998">
        <f t="shared" si="32"/>
        <v>0</v>
      </c>
      <c r="J225" s="691"/>
      <c r="K225" s="771"/>
      <c r="L225" s="692"/>
    </row>
    <row r="226" spans="2:12" ht="15" customHeight="1" thickBot="1" x14ac:dyDescent="0.35">
      <c r="B226" s="2081"/>
      <c r="C226" s="2099"/>
      <c r="D226" s="2102"/>
      <c r="E226" s="1031" t="s">
        <v>23</v>
      </c>
      <c r="F226" s="833"/>
      <c r="G226" s="997">
        <f t="shared" si="30"/>
        <v>310871.36499999999</v>
      </c>
      <c r="H226" s="997">
        <f t="shared" si="31"/>
        <v>621742.73</v>
      </c>
      <c r="I226" s="998">
        <f t="shared" si="32"/>
        <v>310871.36499999999</v>
      </c>
      <c r="J226" s="921">
        <f>'16. APP UIIDP'!G121</f>
        <v>1243485.46</v>
      </c>
      <c r="K226" s="768"/>
      <c r="L226" s="293"/>
    </row>
    <row r="227" spans="2:12" s="693" customFormat="1" ht="15" customHeight="1" thickBot="1" x14ac:dyDescent="0.35">
      <c r="B227" s="2079" t="s">
        <v>769</v>
      </c>
      <c r="C227" s="2099" t="s">
        <v>739</v>
      </c>
      <c r="D227" s="2100" t="s">
        <v>22</v>
      </c>
      <c r="E227" s="1031" t="s">
        <v>97</v>
      </c>
      <c r="F227" s="833"/>
      <c r="G227" s="997">
        <f t="shared" si="30"/>
        <v>32.5</v>
      </c>
      <c r="H227" s="997">
        <f t="shared" si="31"/>
        <v>65</v>
      </c>
      <c r="I227" s="998">
        <f t="shared" si="32"/>
        <v>32.5</v>
      </c>
      <c r="J227" s="310">
        <f>'16. APP UIIDP'!D124</f>
        <v>130</v>
      </c>
      <c r="K227" s="771"/>
      <c r="L227" s="692"/>
    </row>
    <row r="228" spans="2:12" s="693" customFormat="1" ht="15" customHeight="1" thickBot="1" x14ac:dyDescent="0.35">
      <c r="B228" s="2080"/>
      <c r="C228" s="2099"/>
      <c r="D228" s="2101"/>
      <c r="E228" s="1031" t="s">
        <v>11</v>
      </c>
      <c r="F228" s="833"/>
      <c r="G228" s="997">
        <f t="shared" si="30"/>
        <v>0</v>
      </c>
      <c r="H228" s="997">
        <f t="shared" si="31"/>
        <v>0</v>
      </c>
      <c r="I228" s="998">
        <f t="shared" si="32"/>
        <v>0</v>
      </c>
      <c r="J228" s="691"/>
      <c r="K228" s="771"/>
      <c r="L228" s="692"/>
    </row>
    <row r="229" spans="2:12" ht="15" customHeight="1" thickBot="1" x14ac:dyDescent="0.35">
      <c r="B229" s="2081"/>
      <c r="C229" s="2099"/>
      <c r="D229" s="2102"/>
      <c r="E229" s="1031" t="s">
        <v>23</v>
      </c>
      <c r="F229" s="833"/>
      <c r="G229" s="997">
        <f t="shared" si="30"/>
        <v>141567.96249999999</v>
      </c>
      <c r="H229" s="997">
        <f t="shared" si="31"/>
        <v>283135.92499999999</v>
      </c>
      <c r="I229" s="998">
        <f t="shared" si="32"/>
        <v>141567.96249999999</v>
      </c>
      <c r="J229" s="921">
        <f>'16. APP UIIDP'!G124</f>
        <v>566271.85</v>
      </c>
      <c r="K229" s="768"/>
      <c r="L229" s="293"/>
    </row>
    <row r="230" spans="2:12" s="693" customFormat="1" ht="15" customHeight="1" thickBot="1" x14ac:dyDescent="0.35">
      <c r="B230" s="2079" t="s">
        <v>770</v>
      </c>
      <c r="C230" s="2099" t="s">
        <v>740</v>
      </c>
      <c r="D230" s="2100" t="s">
        <v>22</v>
      </c>
      <c r="E230" s="1031" t="s">
        <v>97</v>
      </c>
      <c r="F230" s="833"/>
      <c r="G230" s="997">
        <f t="shared" si="30"/>
        <v>55</v>
      </c>
      <c r="H230" s="997">
        <f t="shared" si="31"/>
        <v>110</v>
      </c>
      <c r="I230" s="998">
        <f t="shared" si="32"/>
        <v>55</v>
      </c>
      <c r="J230" s="310">
        <f>'16. APP UIIDP'!D127</f>
        <v>220</v>
      </c>
      <c r="K230" s="771"/>
      <c r="L230" s="692"/>
    </row>
    <row r="231" spans="2:12" s="693" customFormat="1" ht="15" customHeight="1" thickBot="1" x14ac:dyDescent="0.35">
      <c r="B231" s="2080"/>
      <c r="C231" s="2099"/>
      <c r="D231" s="2101"/>
      <c r="E231" s="1031" t="s">
        <v>11</v>
      </c>
      <c r="F231" s="833"/>
      <c r="G231" s="997">
        <f t="shared" si="30"/>
        <v>0</v>
      </c>
      <c r="H231" s="997">
        <f t="shared" si="31"/>
        <v>0</v>
      </c>
      <c r="I231" s="998">
        <f t="shared" si="32"/>
        <v>0</v>
      </c>
      <c r="J231" s="691"/>
      <c r="K231" s="771"/>
      <c r="L231" s="692"/>
    </row>
    <row r="232" spans="2:12" ht="15" customHeight="1" thickBot="1" x14ac:dyDescent="0.35">
      <c r="B232" s="2081"/>
      <c r="C232" s="2099"/>
      <c r="D232" s="2102"/>
      <c r="E232" s="1031" t="s">
        <v>23</v>
      </c>
      <c r="F232" s="833"/>
      <c r="G232" s="997">
        <f t="shared" si="30"/>
        <v>210748.16250000001</v>
      </c>
      <c r="H232" s="997">
        <f t="shared" si="31"/>
        <v>421496.32500000001</v>
      </c>
      <c r="I232" s="998">
        <f t="shared" si="32"/>
        <v>210748.16250000001</v>
      </c>
      <c r="J232" s="921">
        <f>'16. APP UIIDP'!G127</f>
        <v>842992.65</v>
      </c>
      <c r="K232" s="768"/>
      <c r="L232" s="293"/>
    </row>
    <row r="233" spans="2:12" s="693" customFormat="1" ht="15" customHeight="1" thickBot="1" x14ac:dyDescent="0.35">
      <c r="B233" s="2079" t="s">
        <v>771</v>
      </c>
      <c r="C233" s="2099" t="s">
        <v>741</v>
      </c>
      <c r="D233" s="2100" t="s">
        <v>22</v>
      </c>
      <c r="E233" s="1031" t="s">
        <v>97</v>
      </c>
      <c r="F233" s="833"/>
      <c r="G233" s="997">
        <f t="shared" si="30"/>
        <v>55</v>
      </c>
      <c r="H233" s="997">
        <f t="shared" si="31"/>
        <v>110</v>
      </c>
      <c r="I233" s="998">
        <f t="shared" si="32"/>
        <v>55</v>
      </c>
      <c r="J233" s="310">
        <f>'16. APP UIIDP'!D130</f>
        <v>220</v>
      </c>
      <c r="K233" s="771"/>
      <c r="L233" s="692"/>
    </row>
    <row r="234" spans="2:12" s="693" customFormat="1" ht="15" customHeight="1" thickBot="1" x14ac:dyDescent="0.35">
      <c r="B234" s="2080"/>
      <c r="C234" s="2099"/>
      <c r="D234" s="2101"/>
      <c r="E234" s="1031" t="s">
        <v>11</v>
      </c>
      <c r="F234" s="833"/>
      <c r="G234" s="997">
        <f t="shared" si="30"/>
        <v>0</v>
      </c>
      <c r="H234" s="997">
        <f t="shared" si="31"/>
        <v>0</v>
      </c>
      <c r="I234" s="998">
        <f t="shared" si="32"/>
        <v>0</v>
      </c>
      <c r="J234" s="691"/>
      <c r="K234" s="771"/>
      <c r="L234" s="692"/>
    </row>
    <row r="235" spans="2:12" ht="15" customHeight="1" thickBot="1" x14ac:dyDescent="0.35">
      <c r="B235" s="2081"/>
      <c r="C235" s="2099"/>
      <c r="D235" s="2102"/>
      <c r="E235" s="1031" t="s">
        <v>23</v>
      </c>
      <c r="F235" s="833"/>
      <c r="G235" s="997">
        <f t="shared" si="30"/>
        <v>210748.16250000001</v>
      </c>
      <c r="H235" s="997">
        <f t="shared" si="31"/>
        <v>421496.32500000001</v>
      </c>
      <c r="I235" s="998">
        <f t="shared" si="32"/>
        <v>210748.16250000001</v>
      </c>
      <c r="J235" s="921">
        <f>'16. APP UIIDP'!G130</f>
        <v>842992.65</v>
      </c>
      <c r="K235" s="768"/>
      <c r="L235" s="293"/>
    </row>
    <row r="236" spans="2:12" s="693" customFormat="1" ht="15" customHeight="1" thickBot="1" x14ac:dyDescent="0.35">
      <c r="B236" s="2079" t="s">
        <v>772</v>
      </c>
      <c r="C236" s="2099" t="s">
        <v>742</v>
      </c>
      <c r="D236" s="2100" t="s">
        <v>22</v>
      </c>
      <c r="E236" s="1031" t="s">
        <v>97</v>
      </c>
      <c r="F236" s="833"/>
      <c r="G236" s="997">
        <f t="shared" si="30"/>
        <v>120</v>
      </c>
      <c r="H236" s="997">
        <f t="shared" si="31"/>
        <v>240</v>
      </c>
      <c r="I236" s="998">
        <f t="shared" si="32"/>
        <v>120</v>
      </c>
      <c r="J236" s="310">
        <f>'16. APP UIIDP'!D133</f>
        <v>480</v>
      </c>
      <c r="K236" s="771"/>
      <c r="L236" s="692"/>
    </row>
    <row r="237" spans="2:12" s="693" customFormat="1" ht="15" customHeight="1" thickBot="1" x14ac:dyDescent="0.35">
      <c r="B237" s="2080"/>
      <c r="C237" s="2099"/>
      <c r="D237" s="2101"/>
      <c r="E237" s="1031" t="s">
        <v>11</v>
      </c>
      <c r="F237" s="833"/>
      <c r="G237" s="997">
        <f t="shared" si="30"/>
        <v>0</v>
      </c>
      <c r="H237" s="997">
        <f t="shared" si="31"/>
        <v>0</v>
      </c>
      <c r="I237" s="998">
        <f t="shared" si="32"/>
        <v>0</v>
      </c>
      <c r="J237" s="691"/>
      <c r="K237" s="771"/>
      <c r="L237" s="692"/>
    </row>
    <row r="238" spans="2:12" ht="15" customHeight="1" thickBot="1" x14ac:dyDescent="0.35">
      <c r="B238" s="2081"/>
      <c r="C238" s="2099"/>
      <c r="D238" s="2102"/>
      <c r="E238" s="1031" t="s">
        <v>23</v>
      </c>
      <c r="F238" s="833"/>
      <c r="G238" s="997">
        <f t="shared" si="30"/>
        <v>477552.19750000001</v>
      </c>
      <c r="H238" s="997">
        <f t="shared" si="31"/>
        <v>955104.39500000002</v>
      </c>
      <c r="I238" s="998">
        <f t="shared" si="32"/>
        <v>477552.19750000001</v>
      </c>
      <c r="J238" s="921">
        <f>'16. APP UIIDP'!G133</f>
        <v>1910208.79</v>
      </c>
      <c r="K238" s="768"/>
      <c r="L238" s="293"/>
    </row>
    <row r="239" spans="2:12" s="693" customFormat="1" ht="15" customHeight="1" thickBot="1" x14ac:dyDescent="0.35">
      <c r="B239" s="2079" t="s">
        <v>773</v>
      </c>
      <c r="C239" s="2099" t="s">
        <v>820</v>
      </c>
      <c r="D239" s="2100" t="s">
        <v>22</v>
      </c>
      <c r="E239" s="1031" t="s">
        <v>97</v>
      </c>
      <c r="F239" s="833"/>
      <c r="G239" s="997">
        <f t="shared" ref="G239:G241" si="33">J239*0.25</f>
        <v>76.25</v>
      </c>
      <c r="H239" s="997">
        <f t="shared" ref="H239:H241" si="34">J239*0.5</f>
        <v>152.5</v>
      </c>
      <c r="I239" s="998">
        <f t="shared" ref="I239:I241" si="35">J239*0.25</f>
        <v>76.25</v>
      </c>
      <c r="J239" s="310">
        <f>'16. APP UIIDP'!D136</f>
        <v>305</v>
      </c>
      <c r="K239" s="771"/>
      <c r="L239" s="692"/>
    </row>
    <row r="240" spans="2:12" s="693" customFormat="1" ht="15" customHeight="1" thickBot="1" x14ac:dyDescent="0.35">
      <c r="B240" s="2080"/>
      <c r="C240" s="2099"/>
      <c r="D240" s="2101"/>
      <c r="E240" s="1031" t="s">
        <v>11</v>
      </c>
      <c r="F240" s="833"/>
      <c r="G240" s="997">
        <f t="shared" si="33"/>
        <v>0</v>
      </c>
      <c r="H240" s="997">
        <f t="shared" si="34"/>
        <v>0</v>
      </c>
      <c r="I240" s="998">
        <f t="shared" si="35"/>
        <v>0</v>
      </c>
      <c r="J240" s="691"/>
      <c r="K240" s="771"/>
      <c r="L240" s="692"/>
    </row>
    <row r="241" spans="2:12" ht="15" customHeight="1" thickBot="1" x14ac:dyDescent="0.35">
      <c r="B241" s="2081"/>
      <c r="C241" s="2099"/>
      <c r="D241" s="2102"/>
      <c r="E241" s="1031" t="s">
        <v>23</v>
      </c>
      <c r="F241" s="833"/>
      <c r="G241" s="997">
        <f t="shared" si="33"/>
        <v>579965.1925</v>
      </c>
      <c r="H241" s="997">
        <f t="shared" si="34"/>
        <v>1159930.385</v>
      </c>
      <c r="I241" s="998">
        <f t="shared" si="35"/>
        <v>579965.1925</v>
      </c>
      <c r="J241" s="921">
        <f>'16. APP UIIDP'!G136</f>
        <v>2319860.77</v>
      </c>
      <c r="K241" s="768"/>
      <c r="L241" s="293"/>
    </row>
    <row r="242" spans="2:12" s="693" customFormat="1" ht="15" customHeight="1" thickBot="1" x14ac:dyDescent="0.35">
      <c r="B242" s="2079" t="s">
        <v>877</v>
      </c>
      <c r="C242" s="2099" t="s">
        <v>743</v>
      </c>
      <c r="D242" s="2100" t="s">
        <v>22</v>
      </c>
      <c r="E242" s="1031" t="s">
        <v>97</v>
      </c>
      <c r="F242" s="833"/>
      <c r="G242" s="997">
        <f t="shared" si="30"/>
        <v>75</v>
      </c>
      <c r="H242" s="997">
        <f t="shared" si="31"/>
        <v>150</v>
      </c>
      <c r="I242" s="998">
        <f t="shared" si="32"/>
        <v>75</v>
      </c>
      <c r="J242" s="310">
        <f>'16. APP UIIDP'!D139</f>
        <v>300</v>
      </c>
      <c r="K242" s="771"/>
      <c r="L242" s="692"/>
    </row>
    <row r="243" spans="2:12" s="693" customFormat="1" ht="15" customHeight="1" thickBot="1" x14ac:dyDescent="0.35">
      <c r="B243" s="2080"/>
      <c r="C243" s="2099"/>
      <c r="D243" s="2101"/>
      <c r="E243" s="1031" t="s">
        <v>11</v>
      </c>
      <c r="F243" s="833"/>
      <c r="G243" s="997">
        <f t="shared" si="30"/>
        <v>0</v>
      </c>
      <c r="H243" s="997">
        <f t="shared" si="31"/>
        <v>0</v>
      </c>
      <c r="I243" s="998">
        <f t="shared" si="32"/>
        <v>0</v>
      </c>
      <c r="J243" s="691"/>
      <c r="K243" s="771"/>
      <c r="L243" s="692"/>
    </row>
    <row r="244" spans="2:12" ht="15" customHeight="1" thickBot="1" x14ac:dyDescent="0.35">
      <c r="B244" s="2081"/>
      <c r="C244" s="2099"/>
      <c r="D244" s="2102"/>
      <c r="E244" s="1031" t="s">
        <v>23</v>
      </c>
      <c r="F244" s="833"/>
      <c r="G244" s="997">
        <f t="shared" si="30"/>
        <v>310119.59250000003</v>
      </c>
      <c r="H244" s="997">
        <f t="shared" si="31"/>
        <v>620239.18500000006</v>
      </c>
      <c r="I244" s="998">
        <f t="shared" si="32"/>
        <v>310119.59250000003</v>
      </c>
      <c r="J244" s="921">
        <f>'16. APP UIIDP'!G139</f>
        <v>1240478.3700000001</v>
      </c>
      <c r="K244" s="768"/>
      <c r="L244" s="293"/>
    </row>
    <row r="245" spans="2:12" ht="15" customHeight="1" thickBot="1" x14ac:dyDescent="0.35">
      <c r="B245" s="2079"/>
      <c r="C245" s="2159" t="s">
        <v>140</v>
      </c>
      <c r="D245" s="2085" t="s">
        <v>22</v>
      </c>
      <c r="E245" s="1031" t="s">
        <v>97</v>
      </c>
      <c r="F245" s="833">
        <f>F242</f>
        <v>0</v>
      </c>
      <c r="G245" s="921">
        <f t="shared" ref="G245:I245" si="36">G209+G212+G215+G218+G221+G224+G227+G230+G233+G236+G242+G239</f>
        <v>827.75</v>
      </c>
      <c r="H245" s="921">
        <f t="shared" si="36"/>
        <v>1655.5</v>
      </c>
      <c r="I245" s="921">
        <f t="shared" si="36"/>
        <v>827.75</v>
      </c>
      <c r="J245" s="921">
        <f>J209+J212+J215+J218+J221+J224+J227+J230+J233+J236+J242+J239</f>
        <v>3311</v>
      </c>
      <c r="K245" s="768"/>
      <c r="L245" s="293"/>
    </row>
    <row r="246" spans="2:12" ht="15" customHeight="1" thickBot="1" x14ac:dyDescent="0.35">
      <c r="B246" s="2080"/>
      <c r="C246" s="2160"/>
      <c r="D246" s="2085"/>
      <c r="E246" s="1031" t="s">
        <v>11</v>
      </c>
      <c r="F246" s="833"/>
      <c r="G246" s="798">
        <f>J246*0.25</f>
        <v>0</v>
      </c>
      <c r="H246" s="798">
        <f>J246*0.5</f>
        <v>0</v>
      </c>
      <c r="I246" s="804">
        <f>J246*0.25</f>
        <v>0</v>
      </c>
      <c r="J246" s="921"/>
      <c r="K246" s="768"/>
      <c r="L246" s="293"/>
    </row>
    <row r="247" spans="2:12" ht="15" customHeight="1" thickBot="1" x14ac:dyDescent="0.35">
      <c r="B247" s="2081"/>
      <c r="C247" s="2161"/>
      <c r="D247" s="2085"/>
      <c r="E247" s="1339" t="s">
        <v>23</v>
      </c>
      <c r="F247" s="1341">
        <f>F211+F214+F217+F220+F223+F226+F229+F232+F235+F238+F244</f>
        <v>0</v>
      </c>
      <c r="G247" s="1341">
        <f t="shared" ref="G247:I247" si="37">G211+G214+G217+G220+G223+G226+G229+G232+G235+G238+G244+G241</f>
        <v>3481398.9824999999</v>
      </c>
      <c r="H247" s="1341">
        <f t="shared" si="37"/>
        <v>6962797.9649999999</v>
      </c>
      <c r="I247" s="1341">
        <f t="shared" si="37"/>
        <v>3481398.9824999999</v>
      </c>
      <c r="J247" s="1341">
        <f>J211+J214+J217+J220+J223+J226+J229+J232+J235+J238+J244+J241</f>
        <v>13925595.93</v>
      </c>
      <c r="K247" s="784">
        <f>SUM(K244:K244)</f>
        <v>0</v>
      </c>
      <c r="L247" s="293"/>
    </row>
    <row r="248" spans="2:12" thickBot="1" x14ac:dyDescent="0.35">
      <c r="B248" s="325">
        <v>1.3</v>
      </c>
      <c r="C248" s="977" t="s">
        <v>219</v>
      </c>
      <c r="D248" s="1014"/>
      <c r="E248" s="1044"/>
      <c r="F248" s="827"/>
      <c r="G248" s="325"/>
      <c r="H248" s="325"/>
      <c r="I248" s="844"/>
      <c r="J248" s="845"/>
      <c r="K248" s="785"/>
      <c r="L248" s="293"/>
    </row>
    <row r="249" spans="2:12" ht="15" customHeight="1" thickBot="1" x14ac:dyDescent="0.35">
      <c r="B249" s="2079" t="s">
        <v>181</v>
      </c>
      <c r="C249" s="2092" t="s">
        <v>406</v>
      </c>
      <c r="D249" s="2085" t="s">
        <v>30</v>
      </c>
      <c r="E249" s="1031" t="s">
        <v>3</v>
      </c>
      <c r="F249" s="833"/>
      <c r="G249" s="997">
        <f>J249*0.25</f>
        <v>0.25</v>
      </c>
      <c r="H249" s="997">
        <f>J249*0.5</f>
        <v>0.5</v>
      </c>
      <c r="I249" s="702">
        <f>J249*0.25</f>
        <v>0.25</v>
      </c>
      <c r="J249" s="310">
        <v>1</v>
      </c>
      <c r="K249" s="768"/>
      <c r="L249" s="293"/>
    </row>
    <row r="250" spans="2:12" ht="15" customHeight="1" thickBot="1" x14ac:dyDescent="0.35">
      <c r="B250" s="2080"/>
      <c r="C250" s="2093"/>
      <c r="D250" s="2085"/>
      <c r="E250" s="1031" t="s">
        <v>11</v>
      </c>
      <c r="F250" s="833"/>
      <c r="G250" s="997">
        <f>J250*0.25</f>
        <v>0</v>
      </c>
      <c r="H250" s="997">
        <f>J250*0.5</f>
        <v>0</v>
      </c>
      <c r="I250" s="702">
        <f>J250*0.25</f>
        <v>0</v>
      </c>
      <c r="J250" s="310"/>
      <c r="K250" s="768"/>
      <c r="L250" s="293"/>
    </row>
    <row r="251" spans="2:12" ht="15" customHeight="1" thickBot="1" x14ac:dyDescent="0.35">
      <c r="B251" s="2081"/>
      <c r="C251" s="2094"/>
      <c r="D251" s="2085"/>
      <c r="E251" s="1031" t="s">
        <v>23</v>
      </c>
      <c r="F251" s="833"/>
      <c r="G251" s="997">
        <f>J251*0.25</f>
        <v>1004650.7725</v>
      </c>
      <c r="H251" s="997">
        <f>J251*0.5</f>
        <v>2009301.5449999999</v>
      </c>
      <c r="I251" s="702">
        <f>J251*0.25</f>
        <v>1004650.7725</v>
      </c>
      <c r="J251" s="310">
        <v>4018603.09</v>
      </c>
      <c r="K251" s="768"/>
      <c r="L251" s="293"/>
    </row>
    <row r="252" spans="2:12" s="693" customFormat="1" ht="15" customHeight="1" thickBot="1" x14ac:dyDescent="0.35">
      <c r="B252" s="2076"/>
      <c r="C252" s="2073" t="s">
        <v>1049</v>
      </c>
      <c r="D252" s="2116" t="s">
        <v>30</v>
      </c>
      <c r="E252" s="1032" t="s">
        <v>3</v>
      </c>
      <c r="F252" s="834"/>
      <c r="G252" s="705">
        <f>G249</f>
        <v>0.25</v>
      </c>
      <c r="H252" s="705">
        <f>H249</f>
        <v>0.5</v>
      </c>
      <c r="I252" s="705">
        <f>I249</f>
        <v>0.25</v>
      </c>
      <c r="J252" s="705">
        <f>J249</f>
        <v>1</v>
      </c>
      <c r="K252" s="769"/>
      <c r="L252" s="692"/>
    </row>
    <row r="253" spans="2:12" s="693" customFormat="1" ht="15" customHeight="1" thickBot="1" x14ac:dyDescent="0.35">
      <c r="B253" s="2077"/>
      <c r="C253" s="2074"/>
      <c r="D253" s="2116"/>
      <c r="E253" s="1032" t="s">
        <v>11</v>
      </c>
      <c r="F253" s="834"/>
      <c r="G253" s="1991">
        <f>J253*0.25</f>
        <v>0</v>
      </c>
      <c r="H253" s="1991">
        <f>J253*0.5</f>
        <v>0</v>
      </c>
      <c r="I253" s="702">
        <f>J253*0.25</f>
        <v>0</v>
      </c>
      <c r="J253" s="738"/>
      <c r="K253" s="769"/>
      <c r="L253" s="692"/>
    </row>
    <row r="254" spans="2:12" s="693" customFormat="1" ht="15" customHeight="1" thickBot="1" x14ac:dyDescent="0.35">
      <c r="B254" s="2078"/>
      <c r="C254" s="2075"/>
      <c r="D254" s="2116"/>
      <c r="E254" s="1995" t="s">
        <v>23</v>
      </c>
      <c r="F254" s="705">
        <f>F251</f>
        <v>0</v>
      </c>
      <c r="G254" s="705">
        <f>G251</f>
        <v>1004650.7725</v>
      </c>
      <c r="H254" s="705">
        <f>H251</f>
        <v>2009301.5449999999</v>
      </c>
      <c r="I254" s="705">
        <f>I251</f>
        <v>1004650.7725</v>
      </c>
      <c r="J254" s="705">
        <f>J251</f>
        <v>4018603.09</v>
      </c>
      <c r="K254" s="773">
        <f>SUM(K249:K251)</f>
        <v>0</v>
      </c>
      <c r="L254" s="692"/>
    </row>
    <row r="255" spans="2:12" s="693" customFormat="1" ht="15" customHeight="1" thickBot="1" x14ac:dyDescent="0.35">
      <c r="B255" s="1992">
        <v>1.4</v>
      </c>
      <c r="C255" s="1993" t="s">
        <v>1050</v>
      </c>
      <c r="D255" s="1986"/>
      <c r="E255" s="1996"/>
      <c r="F255" s="705"/>
      <c r="G255" s="705"/>
      <c r="H255" s="705"/>
      <c r="I255" s="705"/>
      <c r="J255" s="705"/>
      <c r="K255" s="1994"/>
      <c r="L255" s="692"/>
    </row>
    <row r="256" spans="2:12" s="693" customFormat="1" ht="15" customHeight="1" thickBot="1" x14ac:dyDescent="0.35">
      <c r="B256" s="2073" t="s">
        <v>184</v>
      </c>
      <c r="C256" s="2073" t="s">
        <v>1052</v>
      </c>
      <c r="D256" s="2116" t="s">
        <v>30</v>
      </c>
      <c r="E256" s="1996" t="s">
        <v>3</v>
      </c>
      <c r="F256" s="705"/>
      <c r="G256" s="705">
        <f>J256*0.25</f>
        <v>0.5</v>
      </c>
      <c r="H256" s="705">
        <f>J256*0.5</f>
        <v>1</v>
      </c>
      <c r="I256" s="705">
        <f>J256*0.25</f>
        <v>0.5</v>
      </c>
      <c r="J256" s="705">
        <v>2</v>
      </c>
      <c r="K256" s="1994"/>
      <c r="L256" s="692"/>
    </row>
    <row r="257" spans="1:12" s="693" customFormat="1" ht="15" customHeight="1" thickBot="1" x14ac:dyDescent="0.35">
      <c r="B257" s="2074"/>
      <c r="C257" s="2074"/>
      <c r="D257" s="2116"/>
      <c r="E257" s="1996" t="s">
        <v>11</v>
      </c>
      <c r="F257" s="705"/>
      <c r="G257" s="705">
        <f t="shared" ref="G257:G258" si="38">J257*0.25</f>
        <v>0</v>
      </c>
      <c r="H257" s="705">
        <f t="shared" ref="H257:H258" si="39">J257*0.5</f>
        <v>0</v>
      </c>
      <c r="I257" s="705">
        <f t="shared" ref="I257:I258" si="40">J257*0.25</f>
        <v>0</v>
      </c>
      <c r="J257" s="705"/>
      <c r="K257" s="1994"/>
      <c r="L257" s="692"/>
    </row>
    <row r="258" spans="1:12" s="693" customFormat="1" ht="15" customHeight="1" thickBot="1" x14ac:dyDescent="0.35">
      <c r="B258" s="2075"/>
      <c r="C258" s="2075"/>
      <c r="D258" s="2116"/>
      <c r="E258" s="1996" t="s">
        <v>23</v>
      </c>
      <c r="F258" s="705"/>
      <c r="G258" s="705">
        <f t="shared" si="38"/>
        <v>2757384.73</v>
      </c>
      <c r="H258" s="705">
        <f t="shared" si="39"/>
        <v>5514769.46</v>
      </c>
      <c r="I258" s="705">
        <f t="shared" si="40"/>
        <v>2757384.73</v>
      </c>
      <c r="J258" s="705">
        <f>2*5514769.46</f>
        <v>11029538.92</v>
      </c>
      <c r="K258" s="1994"/>
      <c r="L258" s="692"/>
    </row>
    <row r="259" spans="1:12" s="693" customFormat="1" ht="15" customHeight="1" thickBot="1" x14ac:dyDescent="0.35">
      <c r="B259" s="2073"/>
      <c r="C259" s="2073" t="s">
        <v>1051</v>
      </c>
      <c r="D259" s="2116" t="s">
        <v>30</v>
      </c>
      <c r="E259" s="1996" t="s">
        <v>3</v>
      </c>
      <c r="F259" s="705"/>
      <c r="G259" s="705">
        <f>G256</f>
        <v>0.5</v>
      </c>
      <c r="H259" s="705">
        <f t="shared" ref="H259:J259" si="41">H256</f>
        <v>1</v>
      </c>
      <c r="I259" s="705">
        <f t="shared" si="41"/>
        <v>0.5</v>
      </c>
      <c r="J259" s="705">
        <f t="shared" si="41"/>
        <v>2</v>
      </c>
      <c r="K259" s="1994"/>
      <c r="L259" s="692"/>
    </row>
    <row r="260" spans="1:12" s="693" customFormat="1" ht="15" customHeight="1" thickBot="1" x14ac:dyDescent="0.35">
      <c r="B260" s="2074"/>
      <c r="C260" s="2074"/>
      <c r="D260" s="2116"/>
      <c r="E260" s="1996" t="s">
        <v>11</v>
      </c>
      <c r="F260" s="705"/>
      <c r="G260" s="705"/>
      <c r="H260" s="705"/>
      <c r="I260" s="705"/>
      <c r="J260" s="705"/>
      <c r="K260" s="1994"/>
      <c r="L260" s="692"/>
    </row>
    <row r="261" spans="1:12" s="693" customFormat="1" ht="15" customHeight="1" thickBot="1" x14ac:dyDescent="0.35">
      <c r="B261" s="2075"/>
      <c r="C261" s="2075"/>
      <c r="D261" s="2116"/>
      <c r="E261" s="1996" t="s">
        <v>23</v>
      </c>
      <c r="F261" s="705"/>
      <c r="G261" s="705">
        <f>G258</f>
        <v>2757384.73</v>
      </c>
      <c r="H261" s="705">
        <f t="shared" ref="H261:J261" si="42">H258</f>
        <v>5514769.46</v>
      </c>
      <c r="I261" s="705">
        <f t="shared" si="42"/>
        <v>2757384.73</v>
      </c>
      <c r="J261" s="705">
        <f t="shared" si="42"/>
        <v>11029538.92</v>
      </c>
      <c r="K261" s="1994"/>
      <c r="L261" s="692"/>
    </row>
    <row r="262" spans="1:12" ht="28.2" thickBot="1" x14ac:dyDescent="0.35">
      <c r="B262" s="336"/>
      <c r="C262" s="965" t="s">
        <v>322</v>
      </c>
      <c r="D262" s="335"/>
      <c r="E262" s="759"/>
      <c r="F262" s="391">
        <f>F247+F254</f>
        <v>0</v>
      </c>
      <c r="G262" s="391">
        <f>G247+G254+G261</f>
        <v>7243434.4849999994</v>
      </c>
      <c r="H262" s="391">
        <f t="shared" ref="H262:J262" si="43">H247+H254+H261</f>
        <v>14486868.969999999</v>
      </c>
      <c r="I262" s="391">
        <f t="shared" si="43"/>
        <v>7243434.4849999994</v>
      </c>
      <c r="J262" s="391">
        <f t="shared" si="43"/>
        <v>28973737.939999998</v>
      </c>
      <c r="K262" s="391">
        <v>0</v>
      </c>
      <c r="L262" s="293"/>
    </row>
    <row r="263" spans="1:12" ht="16.2" thickBot="1" x14ac:dyDescent="0.35">
      <c r="A263" s="693"/>
      <c r="B263" s="344"/>
      <c r="C263" s="978" t="s">
        <v>323</v>
      </c>
      <c r="D263" s="1005"/>
      <c r="E263" s="1035"/>
      <c r="F263" s="823"/>
      <c r="G263" s="344"/>
      <c r="H263" s="344"/>
      <c r="I263" s="842"/>
      <c r="J263" s="846"/>
      <c r="K263" s="778"/>
      <c r="L263" s="293"/>
    </row>
    <row r="264" spans="1:12" thickBot="1" x14ac:dyDescent="0.35">
      <c r="A264" s="693"/>
      <c r="B264" s="393">
        <v>5</v>
      </c>
      <c r="C264" s="979" t="s">
        <v>545</v>
      </c>
      <c r="D264" s="1015"/>
      <c r="E264" s="1045"/>
      <c r="F264" s="829"/>
      <c r="G264" s="393"/>
      <c r="H264" s="393"/>
      <c r="I264" s="847"/>
      <c r="J264" s="398"/>
      <c r="K264" s="786"/>
      <c r="L264" s="293"/>
    </row>
    <row r="265" spans="1:12" ht="15" customHeight="1" thickBot="1" x14ac:dyDescent="0.35">
      <c r="A265" s="693"/>
      <c r="B265" s="2079">
        <v>5.0999999999999996</v>
      </c>
      <c r="C265" s="2092" t="s">
        <v>762</v>
      </c>
      <c r="D265" s="2085" t="s">
        <v>22</v>
      </c>
      <c r="E265" s="1031" t="s">
        <v>10</v>
      </c>
      <c r="F265" s="833">
        <f t="shared" ref="F265:F287" si="44">J265</f>
        <v>18000</v>
      </c>
      <c r="G265" s="756"/>
      <c r="H265" s="756"/>
      <c r="I265" s="812"/>
      <c r="J265" s="389">
        <f>'16. APP UIIDP'!D226</f>
        <v>18000</v>
      </c>
      <c r="K265" s="787"/>
      <c r="L265" s="293"/>
    </row>
    <row r="266" spans="1:12" ht="15" customHeight="1" thickBot="1" x14ac:dyDescent="0.35">
      <c r="A266" s="693"/>
      <c r="B266" s="2080"/>
      <c r="C266" s="2093"/>
      <c r="D266" s="2085"/>
      <c r="E266" s="1031" t="s">
        <v>11</v>
      </c>
      <c r="F266" s="833">
        <f t="shared" si="44"/>
        <v>0</v>
      </c>
      <c r="G266" s="756"/>
      <c r="H266" s="756"/>
      <c r="I266" s="812"/>
      <c r="J266" s="310"/>
      <c r="K266" s="787"/>
      <c r="L266" s="293"/>
    </row>
    <row r="267" spans="1:12" ht="15" customHeight="1" thickBot="1" x14ac:dyDescent="0.35">
      <c r="B267" s="2081"/>
      <c r="C267" s="2094"/>
      <c r="D267" s="2085"/>
      <c r="E267" s="1031" t="s">
        <v>23</v>
      </c>
      <c r="F267" s="833">
        <f t="shared" si="44"/>
        <v>3498963.64</v>
      </c>
      <c r="G267" s="756"/>
      <c r="H267" s="756"/>
      <c r="I267" s="803"/>
      <c r="J267" s="310">
        <f>'16. APP UIIDP'!G226</f>
        <v>3498963.64</v>
      </c>
      <c r="K267" s="787"/>
      <c r="L267" s="293"/>
    </row>
    <row r="268" spans="1:12" ht="15" customHeight="1" thickBot="1" x14ac:dyDescent="0.35">
      <c r="B268" s="2079">
        <v>5.2</v>
      </c>
      <c r="C268" s="2092" t="s">
        <v>774</v>
      </c>
      <c r="D268" s="2085" t="s">
        <v>22</v>
      </c>
      <c r="E268" s="1031" t="s">
        <v>10</v>
      </c>
      <c r="F268" s="833">
        <f t="shared" si="44"/>
        <v>4000</v>
      </c>
      <c r="G268" s="756"/>
      <c r="H268" s="756"/>
      <c r="I268" s="812"/>
      <c r="J268" s="389">
        <f>'16. APP UIIDP'!D229</f>
        <v>4000</v>
      </c>
      <c r="K268" s="787"/>
      <c r="L268" s="293"/>
    </row>
    <row r="269" spans="1:12" ht="15" customHeight="1" thickBot="1" x14ac:dyDescent="0.35">
      <c r="B269" s="2080"/>
      <c r="C269" s="2093"/>
      <c r="D269" s="2085"/>
      <c r="E269" s="1031" t="s">
        <v>11</v>
      </c>
      <c r="F269" s="833">
        <f t="shared" si="44"/>
        <v>0</v>
      </c>
      <c r="G269" s="756"/>
      <c r="H269" s="756"/>
      <c r="I269" s="812"/>
      <c r="J269" s="310"/>
      <c r="K269" s="787"/>
      <c r="L269" s="293"/>
    </row>
    <row r="270" spans="1:12" ht="15" customHeight="1" thickBot="1" x14ac:dyDescent="0.35">
      <c r="B270" s="2081"/>
      <c r="C270" s="2094"/>
      <c r="D270" s="2085"/>
      <c r="E270" s="1031" t="s">
        <v>23</v>
      </c>
      <c r="F270" s="833">
        <f t="shared" si="44"/>
        <v>726094.65</v>
      </c>
      <c r="G270" s="756"/>
      <c r="H270" s="756"/>
      <c r="I270" s="803"/>
      <c r="J270" s="310">
        <f>'16. APP UIIDP'!G229</f>
        <v>726094.65</v>
      </c>
      <c r="K270" s="787"/>
      <c r="L270" s="293"/>
    </row>
    <row r="271" spans="1:12" ht="15" customHeight="1" thickBot="1" x14ac:dyDescent="0.35">
      <c r="B271" s="2079"/>
      <c r="C271" s="2165" t="s">
        <v>600</v>
      </c>
      <c r="D271" s="2085" t="s">
        <v>22</v>
      </c>
      <c r="E271" s="1031" t="s">
        <v>10</v>
      </c>
      <c r="F271" s="833">
        <f t="shared" si="44"/>
        <v>22000</v>
      </c>
      <c r="G271" s="756"/>
      <c r="H271" s="756"/>
      <c r="I271" s="803"/>
      <c r="J271" s="310">
        <f>J265+J268</f>
        <v>22000</v>
      </c>
      <c r="K271" s="787"/>
      <c r="L271" s="293"/>
    </row>
    <row r="272" spans="1:12" ht="15" customHeight="1" thickBot="1" x14ac:dyDescent="0.35">
      <c r="B272" s="2080"/>
      <c r="C272" s="2166"/>
      <c r="D272" s="2085"/>
      <c r="E272" s="1031" t="s">
        <v>11</v>
      </c>
      <c r="F272" s="833">
        <f t="shared" si="44"/>
        <v>0</v>
      </c>
      <c r="G272" s="756"/>
      <c r="H272" s="756"/>
      <c r="I272" s="803"/>
      <c r="J272" s="310"/>
      <c r="K272" s="787"/>
      <c r="L272" s="293"/>
    </row>
    <row r="273" spans="2:12" ht="15" customHeight="1" thickBot="1" x14ac:dyDescent="0.35">
      <c r="B273" s="2080"/>
      <c r="C273" s="2167"/>
      <c r="D273" s="2085"/>
      <c r="E273" s="1339" t="s">
        <v>23</v>
      </c>
      <c r="F273" s="1340">
        <f t="shared" si="44"/>
        <v>4225058.29</v>
      </c>
      <c r="G273" s="1345"/>
      <c r="H273" s="1345"/>
      <c r="I273" s="1359"/>
      <c r="J273" s="1360">
        <f>J267+J270</f>
        <v>4225058.29</v>
      </c>
      <c r="K273" s="787"/>
      <c r="L273" s="293"/>
    </row>
    <row r="274" spans="2:12" ht="15" customHeight="1" thickBot="1" x14ac:dyDescent="0.35">
      <c r="B274" s="923"/>
      <c r="C274" s="980" t="s">
        <v>598</v>
      </c>
      <c r="D274" s="1016"/>
      <c r="E274" s="1031"/>
      <c r="F274" s="833"/>
      <c r="G274" s="756"/>
      <c r="H274" s="756"/>
      <c r="I274" s="803"/>
      <c r="J274" s="310"/>
      <c r="K274" s="787"/>
      <c r="L274" s="293"/>
    </row>
    <row r="275" spans="2:12" ht="15" customHeight="1" thickBot="1" x14ac:dyDescent="0.35">
      <c r="B275" s="2079">
        <v>5.4</v>
      </c>
      <c r="C275" s="2092" t="s">
        <v>775</v>
      </c>
      <c r="D275" s="2085" t="s">
        <v>22</v>
      </c>
      <c r="E275" s="1031" t="s">
        <v>97</v>
      </c>
      <c r="F275" s="833">
        <f t="shared" si="44"/>
        <v>0.1</v>
      </c>
      <c r="G275" s="756"/>
      <c r="H275" s="756"/>
      <c r="I275" s="812"/>
      <c r="J275" s="389">
        <f>'16. APP UIIDP'!D221</f>
        <v>0.1</v>
      </c>
      <c r="K275" s="787"/>
      <c r="L275" s="293"/>
    </row>
    <row r="276" spans="2:12" ht="15" customHeight="1" thickBot="1" x14ac:dyDescent="0.35">
      <c r="B276" s="2080"/>
      <c r="C276" s="2093"/>
      <c r="D276" s="2085"/>
      <c r="E276" s="1031" t="s">
        <v>11</v>
      </c>
      <c r="F276" s="833">
        <f t="shared" si="44"/>
        <v>0.1</v>
      </c>
      <c r="G276" s="756"/>
      <c r="H276" s="756"/>
      <c r="I276" s="812"/>
      <c r="J276" s="310">
        <v>0.1</v>
      </c>
      <c r="K276" s="787"/>
      <c r="L276" s="293"/>
    </row>
    <row r="277" spans="2:12" ht="15" customHeight="1" thickBot="1" x14ac:dyDescent="0.35">
      <c r="B277" s="2081"/>
      <c r="C277" s="2094"/>
      <c r="D277" s="2085"/>
      <c r="E277" s="1031" t="s">
        <v>23</v>
      </c>
      <c r="F277" s="833">
        <f t="shared" si="44"/>
        <v>630392.94999999995</v>
      </c>
      <c r="G277" s="756"/>
      <c r="H277" s="756"/>
      <c r="I277" s="803"/>
      <c r="J277" s="310">
        <f>'16. APP UIIDP'!G219</f>
        <v>630392.94999999995</v>
      </c>
      <c r="K277" s="787"/>
      <c r="L277" s="293"/>
    </row>
    <row r="278" spans="2:12" ht="15" customHeight="1" thickBot="1" x14ac:dyDescent="0.35">
      <c r="B278" s="2079"/>
      <c r="C278" s="2171" t="s">
        <v>599</v>
      </c>
      <c r="D278" s="2085" t="s">
        <v>22</v>
      </c>
      <c r="E278" s="1031" t="s">
        <v>97</v>
      </c>
      <c r="F278" s="833">
        <f t="shared" si="44"/>
        <v>0.1</v>
      </c>
      <c r="G278" s="756"/>
      <c r="H278" s="756"/>
      <c r="I278" s="803"/>
      <c r="J278" s="310">
        <f>J275</f>
        <v>0.1</v>
      </c>
      <c r="K278" s="787"/>
      <c r="L278" s="293"/>
    </row>
    <row r="279" spans="2:12" ht="15" customHeight="1" thickBot="1" x14ac:dyDescent="0.35">
      <c r="B279" s="2080"/>
      <c r="C279" s="2172"/>
      <c r="D279" s="2085"/>
      <c r="E279" s="1031" t="s">
        <v>11</v>
      </c>
      <c r="F279" s="833">
        <f t="shared" si="44"/>
        <v>0</v>
      </c>
      <c r="G279" s="756"/>
      <c r="H279" s="756"/>
      <c r="I279" s="803"/>
      <c r="J279" s="310">
        <v>0</v>
      </c>
      <c r="K279" s="787"/>
      <c r="L279" s="293"/>
    </row>
    <row r="280" spans="2:12" ht="15" customHeight="1" thickBot="1" x14ac:dyDescent="0.35">
      <c r="B280" s="2080"/>
      <c r="C280" s="2173"/>
      <c r="D280" s="2085"/>
      <c r="E280" s="1339" t="s">
        <v>23</v>
      </c>
      <c r="F280" s="1340">
        <f t="shared" si="44"/>
        <v>630392.94999999995</v>
      </c>
      <c r="G280" s="1345"/>
      <c r="H280" s="1345"/>
      <c r="I280" s="1359"/>
      <c r="J280" s="1360">
        <f>J277</f>
        <v>630392.94999999995</v>
      </c>
      <c r="K280" s="787"/>
      <c r="L280" s="293"/>
    </row>
    <row r="281" spans="2:12" ht="15" customHeight="1" thickBot="1" x14ac:dyDescent="0.35">
      <c r="B281" s="923"/>
      <c r="C281" s="981" t="s">
        <v>489</v>
      </c>
      <c r="D281" s="1016"/>
      <c r="E281" s="1031"/>
      <c r="F281" s="833"/>
      <c r="G281" s="756"/>
      <c r="H281" s="756"/>
      <c r="I281" s="803"/>
      <c r="J281" s="310"/>
      <c r="K281" s="787"/>
      <c r="L281" s="293"/>
    </row>
    <row r="282" spans="2:12" ht="15" customHeight="1" thickBot="1" x14ac:dyDescent="0.35">
      <c r="B282" s="2079">
        <v>5.5</v>
      </c>
      <c r="C282" s="2092" t="s">
        <v>508</v>
      </c>
      <c r="D282" s="2085" t="s">
        <v>22</v>
      </c>
      <c r="E282" s="1031" t="s">
        <v>97</v>
      </c>
      <c r="F282" s="833">
        <f t="shared" si="44"/>
        <v>0.1</v>
      </c>
      <c r="G282" s="756"/>
      <c r="H282" s="756"/>
      <c r="I282" s="812"/>
      <c r="J282" s="389">
        <f>'16. APP UIIDP'!D224</f>
        <v>0.1</v>
      </c>
      <c r="K282" s="787"/>
      <c r="L282" s="293"/>
    </row>
    <row r="283" spans="2:12" ht="15" customHeight="1" thickBot="1" x14ac:dyDescent="0.35">
      <c r="B283" s="2080"/>
      <c r="C283" s="2093"/>
      <c r="D283" s="2085"/>
      <c r="E283" s="1031" t="s">
        <v>11</v>
      </c>
      <c r="F283" s="833">
        <f t="shared" si="44"/>
        <v>0</v>
      </c>
      <c r="G283" s="756"/>
      <c r="H283" s="756"/>
      <c r="I283" s="812"/>
      <c r="J283" s="310">
        <v>0</v>
      </c>
      <c r="K283" s="787"/>
      <c r="L283" s="293"/>
    </row>
    <row r="284" spans="2:12" ht="15" customHeight="1" thickBot="1" x14ac:dyDescent="0.35">
      <c r="B284" s="2081"/>
      <c r="C284" s="2094"/>
      <c r="D284" s="2085"/>
      <c r="E284" s="1031" t="s">
        <v>23</v>
      </c>
      <c r="F284" s="833">
        <f t="shared" si="44"/>
        <v>1318048.29</v>
      </c>
      <c r="G284" s="756"/>
      <c r="H284" s="756"/>
      <c r="I284" s="803"/>
      <c r="J284" s="310">
        <f>'16. APP UIIDP'!G221</f>
        <v>1318048.29</v>
      </c>
      <c r="K284" s="787"/>
      <c r="L284" s="293"/>
    </row>
    <row r="285" spans="2:12" s="318" customFormat="1" ht="15" customHeight="1" thickBot="1" x14ac:dyDescent="0.35">
      <c r="B285" s="2079"/>
      <c r="C285" s="2162" t="s">
        <v>601</v>
      </c>
      <c r="D285" s="2085" t="s">
        <v>22</v>
      </c>
      <c r="E285" s="1031" t="s">
        <v>97</v>
      </c>
      <c r="F285" s="833">
        <f>F282</f>
        <v>0.1</v>
      </c>
      <c r="G285" s="756"/>
      <c r="H285" s="756"/>
      <c r="I285" s="803"/>
      <c r="J285" s="398">
        <f>J282</f>
        <v>0.1</v>
      </c>
      <c r="K285" s="787"/>
      <c r="L285" s="317"/>
    </row>
    <row r="286" spans="2:12" s="318" customFormat="1" ht="15" customHeight="1" thickBot="1" x14ac:dyDescent="0.35">
      <c r="B286" s="2080"/>
      <c r="C286" s="2163"/>
      <c r="D286" s="2085"/>
      <c r="E286" s="1031" t="s">
        <v>11</v>
      </c>
      <c r="F286" s="833">
        <f t="shared" si="44"/>
        <v>0</v>
      </c>
      <c r="G286" s="756"/>
      <c r="H286" s="756"/>
      <c r="I286" s="803"/>
      <c r="J286" s="310">
        <v>0</v>
      </c>
      <c r="K286" s="787"/>
      <c r="L286" s="317"/>
    </row>
    <row r="287" spans="2:12" s="318" customFormat="1" ht="15" customHeight="1" thickBot="1" x14ac:dyDescent="0.35">
      <c r="B287" s="2081"/>
      <c r="C287" s="2164"/>
      <c r="D287" s="2085"/>
      <c r="E287" s="1339" t="s">
        <v>23</v>
      </c>
      <c r="F287" s="1340">
        <f t="shared" si="44"/>
        <v>1318048.29</v>
      </c>
      <c r="G287" s="1345"/>
      <c r="H287" s="1345"/>
      <c r="I287" s="1359"/>
      <c r="J287" s="1344">
        <f>J284</f>
        <v>1318048.29</v>
      </c>
      <c r="K287" s="788"/>
      <c r="L287" s="317"/>
    </row>
    <row r="288" spans="2:12" thickBot="1" x14ac:dyDescent="0.35">
      <c r="B288" s="393">
        <v>6</v>
      </c>
      <c r="C288" s="979" t="s">
        <v>548</v>
      </c>
      <c r="D288" s="1015"/>
      <c r="E288" s="1045"/>
      <c r="F288" s="829"/>
      <c r="G288" s="393"/>
      <c r="H288" s="393"/>
      <c r="I288" s="847"/>
      <c r="J288" s="398"/>
      <c r="K288" s="788"/>
      <c r="L288" s="293"/>
    </row>
    <row r="289" spans="2:12" s="693" customFormat="1" ht="15" customHeight="1" thickBot="1" x14ac:dyDescent="0.35">
      <c r="B289" s="2168">
        <v>6.1</v>
      </c>
      <c r="C289" s="2099" t="s">
        <v>761</v>
      </c>
      <c r="D289" s="2085" t="s">
        <v>22</v>
      </c>
      <c r="E289" s="1031" t="s">
        <v>97</v>
      </c>
      <c r="F289" s="833">
        <f t="shared" ref="F289:F294" si="45">J289</f>
        <v>90</v>
      </c>
      <c r="G289" s="756"/>
      <c r="H289" s="756"/>
      <c r="I289" s="809"/>
      <c r="J289" s="705">
        <f>'16. APP UIIDP'!D203</f>
        <v>90</v>
      </c>
      <c r="K289" s="789"/>
      <c r="L289" s="692"/>
    </row>
    <row r="290" spans="2:12" s="693" customFormat="1" ht="15" customHeight="1" thickBot="1" x14ac:dyDescent="0.35">
      <c r="B290" s="2169"/>
      <c r="C290" s="2099"/>
      <c r="D290" s="2085"/>
      <c r="E290" s="1031" t="s">
        <v>11</v>
      </c>
      <c r="F290" s="833">
        <f t="shared" si="45"/>
        <v>0</v>
      </c>
      <c r="G290" s="756"/>
      <c r="H290" s="756"/>
      <c r="I290" s="809"/>
      <c r="J290" s="705"/>
      <c r="K290" s="789"/>
      <c r="L290" s="692"/>
    </row>
    <row r="291" spans="2:12" ht="15" customHeight="1" thickBot="1" x14ac:dyDescent="0.35">
      <c r="B291" s="2170"/>
      <c r="C291" s="2099"/>
      <c r="D291" s="2085"/>
      <c r="E291" s="1031" t="s">
        <v>23</v>
      </c>
      <c r="F291" s="833">
        <f t="shared" si="45"/>
        <v>428733.89</v>
      </c>
      <c r="G291" s="756"/>
      <c r="H291" s="756"/>
      <c r="I291" s="803"/>
      <c r="J291" s="705">
        <f>'16. APP UIIDP'!G206</f>
        <v>428733.89</v>
      </c>
      <c r="K291" s="789"/>
      <c r="L291" s="293"/>
    </row>
    <row r="292" spans="2:12" ht="15" customHeight="1" thickBot="1" x14ac:dyDescent="0.35">
      <c r="B292" s="2168"/>
      <c r="C292" s="2073" t="s">
        <v>549</v>
      </c>
      <c r="D292" s="2085" t="s">
        <v>22</v>
      </c>
      <c r="E292" s="1031" t="s">
        <v>97</v>
      </c>
      <c r="F292" s="833">
        <f t="shared" si="45"/>
        <v>90</v>
      </c>
      <c r="G292" s="756"/>
      <c r="H292" s="756"/>
      <c r="I292" s="809"/>
      <c r="J292" s="705">
        <f>J289</f>
        <v>90</v>
      </c>
      <c r="K292" s="789"/>
      <c r="L292" s="293"/>
    </row>
    <row r="293" spans="2:12" ht="15" customHeight="1" thickBot="1" x14ac:dyDescent="0.35">
      <c r="B293" s="2169"/>
      <c r="C293" s="2074"/>
      <c r="D293" s="2085"/>
      <c r="E293" s="1031" t="s">
        <v>11</v>
      </c>
      <c r="F293" s="833">
        <f t="shared" si="45"/>
        <v>0</v>
      </c>
      <c r="G293" s="756"/>
      <c r="H293" s="756"/>
      <c r="I293" s="809"/>
      <c r="J293" s="705"/>
      <c r="K293" s="789"/>
      <c r="L293" s="293"/>
    </row>
    <row r="294" spans="2:12" ht="15" customHeight="1" thickBot="1" x14ac:dyDescent="0.35">
      <c r="B294" s="2170"/>
      <c r="C294" s="2075"/>
      <c r="D294" s="2085"/>
      <c r="E294" s="1339" t="s">
        <v>23</v>
      </c>
      <c r="F294" s="1340">
        <f t="shared" si="45"/>
        <v>428733.89</v>
      </c>
      <c r="G294" s="1345"/>
      <c r="H294" s="1345"/>
      <c r="I294" s="1359"/>
      <c r="J294" s="1344">
        <f>J291</f>
        <v>428733.89</v>
      </c>
      <c r="K294" s="789"/>
      <c r="L294" s="293"/>
    </row>
    <row r="295" spans="2:12" thickBot="1" x14ac:dyDescent="0.35">
      <c r="B295" s="689">
        <v>1.7</v>
      </c>
      <c r="C295" s="1105" t="s">
        <v>219</v>
      </c>
      <c r="D295" s="1106"/>
      <c r="E295" s="1106"/>
      <c r="F295" s="1107"/>
      <c r="G295" s="1107"/>
      <c r="H295" s="1107"/>
      <c r="I295" s="836"/>
      <c r="J295" s="836"/>
      <c r="K295" s="1107"/>
      <c r="L295" s="293"/>
    </row>
    <row r="296" spans="2:12" thickBot="1" x14ac:dyDescent="0.35">
      <c r="B296" s="2079" t="s">
        <v>286</v>
      </c>
      <c r="C296" s="2092" t="s">
        <v>406</v>
      </c>
      <c r="D296" s="2085" t="s">
        <v>30</v>
      </c>
      <c r="E296" s="1031" t="s">
        <v>3</v>
      </c>
      <c r="F296" s="833"/>
      <c r="G296" s="997">
        <f>J296*0.25</f>
        <v>0.25</v>
      </c>
      <c r="H296" s="997">
        <f>J296*0.5</f>
        <v>0.5</v>
      </c>
      <c r="I296" s="702">
        <f>J296*0.25</f>
        <v>0.25</v>
      </c>
      <c r="J296" s="396">
        <v>1</v>
      </c>
      <c r="K296" s="773"/>
      <c r="L296" s="293"/>
    </row>
    <row r="297" spans="2:12" thickBot="1" x14ac:dyDescent="0.35">
      <c r="B297" s="2080"/>
      <c r="C297" s="2093"/>
      <c r="D297" s="2085"/>
      <c r="E297" s="1031" t="s">
        <v>11</v>
      </c>
      <c r="F297" s="833"/>
      <c r="G297" s="997">
        <f>J297*0.25</f>
        <v>0</v>
      </c>
      <c r="H297" s="997">
        <f>J297*0.5</f>
        <v>0</v>
      </c>
      <c r="I297" s="702">
        <f>J297*0.25</f>
        <v>0</v>
      </c>
      <c r="J297" s="705"/>
      <c r="K297" s="773"/>
      <c r="L297" s="293"/>
    </row>
    <row r="298" spans="2:12" thickBot="1" x14ac:dyDescent="0.35">
      <c r="B298" s="2081"/>
      <c r="C298" s="2094"/>
      <c r="D298" s="2085"/>
      <c r="E298" s="1031" t="s">
        <v>23</v>
      </c>
      <c r="F298" s="833"/>
      <c r="G298" s="997">
        <f>J298*0.25</f>
        <v>1004650.7725</v>
      </c>
      <c r="H298" s="997">
        <f>J298*0.5</f>
        <v>2009301.5449999999</v>
      </c>
      <c r="I298" s="702">
        <f>J298*0.25</f>
        <v>1004650.7725</v>
      </c>
      <c r="J298" s="396">
        <v>4018603.09</v>
      </c>
      <c r="K298" s="768"/>
      <c r="L298" s="293"/>
    </row>
    <row r="299" spans="2:12" s="693" customFormat="1" ht="13.8" x14ac:dyDescent="0.3">
      <c r="B299" s="150"/>
      <c r="C299" s="1354" t="s">
        <v>703</v>
      </c>
      <c r="D299" s="1355"/>
      <c r="E299" s="1355"/>
      <c r="F299" s="1356"/>
      <c r="G299" s="1357">
        <f>G298</f>
        <v>1004650.7725</v>
      </c>
      <c r="H299" s="1357">
        <f>H298</f>
        <v>2009301.5449999999</v>
      </c>
      <c r="I299" s="1357">
        <f>I298</f>
        <v>1004650.7725</v>
      </c>
      <c r="J299" s="1357">
        <f>J298</f>
        <v>4018603.09</v>
      </c>
      <c r="K299" s="1107"/>
      <c r="L299" s="692"/>
    </row>
    <row r="300" spans="2:12" ht="27" thickBot="1" x14ac:dyDescent="0.35">
      <c r="B300" s="393"/>
      <c r="C300" s="979" t="s">
        <v>550</v>
      </c>
      <c r="D300" s="1015"/>
      <c r="E300" s="1045"/>
      <c r="F300" s="398">
        <f>F273+F280+F287+F294+F299</f>
        <v>6602233.4199999999</v>
      </c>
      <c r="G300" s="398">
        <f>G273+G280+G287+G294+G299</f>
        <v>1004650.7725</v>
      </c>
      <c r="H300" s="398">
        <f>H273+H280+H287+H294+H299</f>
        <v>2009301.5449999999</v>
      </c>
      <c r="I300" s="398">
        <f>I273+I280+I287+I294+I299</f>
        <v>1004650.7725</v>
      </c>
      <c r="J300" s="398">
        <f>J273+J280+J287+J294+J299</f>
        <v>10620836.51</v>
      </c>
      <c r="K300" s="788"/>
      <c r="L300" s="293"/>
    </row>
    <row r="301" spans="2:12" ht="16.2" thickBot="1" x14ac:dyDescent="0.35">
      <c r="B301" s="399"/>
      <c r="C301" s="982" t="s">
        <v>324</v>
      </c>
      <c r="D301" s="1017"/>
      <c r="E301" s="1046"/>
      <c r="F301" s="848">
        <f>F262+F300</f>
        <v>6602233.4199999999</v>
      </c>
      <c r="G301" s="848">
        <f>G262+G300</f>
        <v>8248085.2574999994</v>
      </c>
      <c r="H301" s="848">
        <f>H262+H300</f>
        <v>16496170.514999999</v>
      </c>
      <c r="I301" s="848">
        <f>I262+I300</f>
        <v>8248085.2574999994</v>
      </c>
      <c r="J301" s="848">
        <f>J262+J300</f>
        <v>39594574.449999996</v>
      </c>
      <c r="K301" s="790">
        <f>K300+K262</f>
        <v>0</v>
      </c>
      <c r="L301" s="293"/>
    </row>
    <row r="302" spans="2:12" ht="17.399999999999999" x14ac:dyDescent="0.3">
      <c r="B302" s="403"/>
      <c r="C302" s="983" t="s">
        <v>303</v>
      </c>
      <c r="D302" s="1018"/>
      <c r="E302" s="1047"/>
      <c r="F302" s="837"/>
      <c r="G302" s="403"/>
      <c r="H302" s="403"/>
      <c r="I302" s="806"/>
      <c r="J302" s="761"/>
      <c r="K302" s="405"/>
      <c r="L302" s="293"/>
    </row>
    <row r="303" spans="2:12" s="1353" customFormat="1" ht="31.2" x14ac:dyDescent="0.3">
      <c r="B303" s="150"/>
      <c r="C303" s="984" t="s">
        <v>337</v>
      </c>
      <c r="D303" s="1019"/>
      <c r="E303" s="1019"/>
      <c r="F303" s="409">
        <f t="shared" ref="F303:K303" si="46">F301</f>
        <v>6602233.4199999999</v>
      </c>
      <c r="G303" s="409">
        <f t="shared" si="46"/>
        <v>8248085.2574999994</v>
      </c>
      <c r="H303" s="409">
        <f t="shared" si="46"/>
        <v>16496170.514999999</v>
      </c>
      <c r="I303" s="409">
        <f t="shared" si="46"/>
        <v>8248085.2574999994</v>
      </c>
      <c r="J303" s="409">
        <f t="shared" si="46"/>
        <v>39594574.449999996</v>
      </c>
      <c r="K303" s="409">
        <f t="shared" si="46"/>
        <v>0</v>
      </c>
      <c r="L303" s="1358"/>
    </row>
    <row r="304" spans="2:12" ht="31.8" thickBot="1" x14ac:dyDescent="0.35">
      <c r="B304" s="130"/>
      <c r="C304" s="985" t="s">
        <v>327</v>
      </c>
      <c r="D304" s="1020"/>
      <c r="E304" s="1048"/>
      <c r="F304" s="830"/>
      <c r="G304" s="750"/>
      <c r="H304" s="750"/>
      <c r="I304" s="813"/>
      <c r="J304" s="412"/>
      <c r="K304" s="791"/>
      <c r="L304" s="293"/>
    </row>
    <row r="305" spans="2:12" ht="18" thickBot="1" x14ac:dyDescent="0.35">
      <c r="B305" s="385"/>
      <c r="C305" s="986" t="s">
        <v>164</v>
      </c>
      <c r="D305" s="1013"/>
      <c r="E305" s="1043"/>
      <c r="F305" s="826"/>
      <c r="G305" s="749"/>
      <c r="H305" s="749"/>
      <c r="I305" s="811"/>
      <c r="J305" s="381"/>
      <c r="K305" s="784"/>
      <c r="L305" s="293"/>
    </row>
    <row r="306" spans="2:12" thickBot="1" x14ac:dyDescent="0.35">
      <c r="B306" s="373">
        <v>2</v>
      </c>
      <c r="C306" s="987" t="s">
        <v>336</v>
      </c>
      <c r="D306" s="335"/>
      <c r="E306" s="759"/>
      <c r="F306" s="831"/>
      <c r="G306" s="373"/>
      <c r="H306" s="373"/>
      <c r="I306" s="849"/>
      <c r="J306" s="850"/>
      <c r="K306" s="792"/>
      <c r="L306" s="293"/>
    </row>
    <row r="307" spans="2:12" s="693" customFormat="1" ht="15" customHeight="1" thickBot="1" x14ac:dyDescent="0.35">
      <c r="B307" s="2079">
        <v>2.1</v>
      </c>
      <c r="C307" s="2099" t="s">
        <v>502</v>
      </c>
      <c r="D307" s="2085" t="s">
        <v>22</v>
      </c>
      <c r="E307" s="1031" t="s">
        <v>9</v>
      </c>
      <c r="F307" s="833">
        <f>J307</f>
        <v>80</v>
      </c>
      <c r="G307" s="756"/>
      <c r="H307" s="756"/>
      <c r="I307" s="809"/>
      <c r="J307" s="389">
        <f>'16. APP UIIDP'!D208</f>
        <v>80</v>
      </c>
      <c r="K307" s="773"/>
      <c r="L307" s="692"/>
    </row>
    <row r="308" spans="2:12" s="693" customFormat="1" ht="15" customHeight="1" thickBot="1" x14ac:dyDescent="0.35">
      <c r="B308" s="2080"/>
      <c r="C308" s="2099"/>
      <c r="D308" s="2085"/>
      <c r="E308" s="1031" t="s">
        <v>11</v>
      </c>
      <c r="F308" s="833">
        <f t="shared" ref="F308:F314" si="47">J308</f>
        <v>0</v>
      </c>
      <c r="G308" s="756"/>
      <c r="H308" s="756"/>
      <c r="I308" s="809"/>
      <c r="J308" s="705"/>
      <c r="K308" s="773"/>
      <c r="L308" s="692"/>
    </row>
    <row r="309" spans="2:12" ht="15" customHeight="1" thickBot="1" x14ac:dyDescent="0.35">
      <c r="B309" s="2081"/>
      <c r="C309" s="2099"/>
      <c r="D309" s="2085"/>
      <c r="E309" s="1031" t="s">
        <v>23</v>
      </c>
      <c r="F309" s="833">
        <f t="shared" si="47"/>
        <v>1383319.47</v>
      </c>
      <c r="G309" s="756"/>
      <c r="H309" s="756"/>
      <c r="I309" s="803"/>
      <c r="J309" s="310">
        <f>'16. APP UIIDP'!G208</f>
        <v>1383319.47</v>
      </c>
      <c r="K309" s="768"/>
      <c r="L309" s="293"/>
    </row>
    <row r="310" spans="2:12" ht="15" customHeight="1" thickBot="1" x14ac:dyDescent="0.35">
      <c r="B310" s="2079">
        <v>2.2000000000000002</v>
      </c>
      <c r="C310" s="2099" t="s">
        <v>503</v>
      </c>
      <c r="D310" s="2085" t="s">
        <v>22</v>
      </c>
      <c r="E310" s="1031" t="s">
        <v>9</v>
      </c>
      <c r="F310" s="833">
        <f t="shared" si="47"/>
        <v>250</v>
      </c>
      <c r="G310" s="756"/>
      <c r="H310" s="756"/>
      <c r="I310" s="812"/>
      <c r="J310" s="389">
        <f>'16. APP UIIDP'!D211</f>
        <v>250</v>
      </c>
      <c r="K310" s="768"/>
      <c r="L310" s="293"/>
    </row>
    <row r="311" spans="2:12" ht="15" customHeight="1" thickBot="1" x14ac:dyDescent="0.35">
      <c r="B311" s="2080"/>
      <c r="C311" s="2099"/>
      <c r="D311" s="2085"/>
      <c r="E311" s="1031" t="s">
        <v>11</v>
      </c>
      <c r="F311" s="833">
        <f t="shared" si="47"/>
        <v>0</v>
      </c>
      <c r="G311" s="756"/>
      <c r="H311" s="756"/>
      <c r="I311" s="812"/>
      <c r="J311" s="310"/>
      <c r="K311" s="768"/>
      <c r="L311" s="293"/>
    </row>
    <row r="312" spans="2:12" ht="15" customHeight="1" thickBot="1" x14ac:dyDescent="0.35">
      <c r="B312" s="2081"/>
      <c r="C312" s="2099"/>
      <c r="D312" s="2085"/>
      <c r="E312" s="1031" t="s">
        <v>23</v>
      </c>
      <c r="F312" s="833">
        <f t="shared" si="47"/>
        <v>9806360.5</v>
      </c>
      <c r="G312" s="756"/>
      <c r="H312" s="756"/>
      <c r="I312" s="803"/>
      <c r="J312" s="310">
        <f>'16. APP UIIDP'!G211</f>
        <v>9806360.5</v>
      </c>
      <c r="K312" s="768"/>
      <c r="L312" s="293"/>
    </row>
    <row r="313" spans="2:12" ht="15" customHeight="1" thickBot="1" x14ac:dyDescent="0.35">
      <c r="B313" s="2079"/>
      <c r="C313" s="2113" t="s">
        <v>169</v>
      </c>
      <c r="D313" s="2085" t="s">
        <v>22</v>
      </c>
      <c r="E313" s="1031" t="s">
        <v>97</v>
      </c>
      <c r="F313" s="833">
        <f t="shared" si="47"/>
        <v>330</v>
      </c>
      <c r="G313" s="756"/>
      <c r="H313" s="756"/>
      <c r="I313" s="812"/>
      <c r="J313" s="850">
        <f>J307+J310</f>
        <v>330</v>
      </c>
      <c r="K313" s="768"/>
      <c r="L313" s="293"/>
    </row>
    <row r="314" spans="2:12" ht="15" customHeight="1" thickBot="1" x14ac:dyDescent="0.35">
      <c r="B314" s="2080"/>
      <c r="C314" s="2114"/>
      <c r="D314" s="2085"/>
      <c r="E314" s="1031" t="s">
        <v>11</v>
      </c>
      <c r="F314" s="833">
        <f t="shared" si="47"/>
        <v>0</v>
      </c>
      <c r="G314" s="756"/>
      <c r="H314" s="756"/>
      <c r="I314" s="812"/>
      <c r="J314" s="310"/>
      <c r="K314" s="768"/>
      <c r="L314" s="293"/>
    </row>
    <row r="315" spans="2:12" ht="15" customHeight="1" thickBot="1" x14ac:dyDescent="0.35">
      <c r="B315" s="2081"/>
      <c r="C315" s="2115"/>
      <c r="D315" s="2085"/>
      <c r="E315" s="1339" t="s">
        <v>23</v>
      </c>
      <c r="F315" s="1344">
        <f>F309+F312</f>
        <v>11189679.970000001</v>
      </c>
      <c r="G315" s="1344">
        <f>G309+G312</f>
        <v>0</v>
      </c>
      <c r="H315" s="1344">
        <f>H309+H312</f>
        <v>0</v>
      </c>
      <c r="I315" s="1344">
        <f>I309+I312</f>
        <v>0</v>
      </c>
      <c r="J315" s="1344">
        <f>J309+J312</f>
        <v>11189679.970000001</v>
      </c>
      <c r="K315" s="792">
        <f>K309</f>
        <v>0</v>
      </c>
      <c r="L315" s="293"/>
    </row>
    <row r="316" spans="2:12" thickBot="1" x14ac:dyDescent="0.35">
      <c r="B316" s="329"/>
      <c r="C316" s="964" t="s">
        <v>282</v>
      </c>
      <c r="D316" s="1004"/>
      <c r="E316" s="1034"/>
      <c r="F316" s="418">
        <f>F315</f>
        <v>11189679.970000001</v>
      </c>
      <c r="G316" s="418">
        <f t="shared" ref="G316:K316" si="48">G315</f>
        <v>0</v>
      </c>
      <c r="H316" s="418">
        <f t="shared" si="48"/>
        <v>0</v>
      </c>
      <c r="I316" s="418">
        <f t="shared" si="48"/>
        <v>0</v>
      </c>
      <c r="J316" s="418">
        <f t="shared" si="48"/>
        <v>11189679.970000001</v>
      </c>
      <c r="K316" s="418">
        <f t="shared" si="48"/>
        <v>0</v>
      </c>
      <c r="L316" s="293"/>
    </row>
    <row r="317" spans="2:12" ht="35.4" thickBot="1" x14ac:dyDescent="0.35">
      <c r="B317" s="414"/>
      <c r="C317" s="986" t="s">
        <v>324</v>
      </c>
      <c r="D317" s="1021"/>
      <c r="E317" s="1049"/>
      <c r="F317" s="993">
        <f t="shared" ref="F317:I318" si="49">F316</f>
        <v>11189679.970000001</v>
      </c>
      <c r="G317" s="993">
        <f t="shared" si="49"/>
        <v>0</v>
      </c>
      <c r="H317" s="993">
        <f t="shared" si="49"/>
        <v>0</v>
      </c>
      <c r="I317" s="993">
        <f t="shared" si="49"/>
        <v>0</v>
      </c>
      <c r="J317" s="993">
        <f>J316</f>
        <v>11189679.970000001</v>
      </c>
      <c r="K317" s="793">
        <f>K316</f>
        <v>0</v>
      </c>
      <c r="L317" s="293"/>
    </row>
    <row r="318" spans="2:12" s="1353" customFormat="1" ht="31.2" x14ac:dyDescent="0.3">
      <c r="B318" s="417"/>
      <c r="C318" s="988" t="s">
        <v>328</v>
      </c>
      <c r="D318" s="1022"/>
      <c r="E318" s="1050"/>
      <c r="F318" s="994">
        <f t="shared" si="49"/>
        <v>11189679.970000001</v>
      </c>
      <c r="G318" s="994">
        <f t="shared" si="49"/>
        <v>0</v>
      </c>
      <c r="H318" s="994">
        <f t="shared" si="49"/>
        <v>0</v>
      </c>
      <c r="I318" s="994">
        <f t="shared" si="49"/>
        <v>0</v>
      </c>
      <c r="J318" s="994">
        <f>J317</f>
        <v>11189679.970000001</v>
      </c>
      <c r="K318" s="530">
        <f>K317</f>
        <v>0</v>
      </c>
      <c r="L318" s="1358"/>
    </row>
    <row r="319" spans="2:12" ht="39.6" x14ac:dyDescent="0.3">
      <c r="B319" s="531"/>
      <c r="C319" s="751" t="s">
        <v>167</v>
      </c>
      <c r="D319" s="1023"/>
      <c r="E319" s="1051"/>
      <c r="F319" s="838"/>
      <c r="G319" s="531"/>
      <c r="H319" s="531"/>
      <c r="I319" s="851"/>
      <c r="J319" s="922"/>
      <c r="K319" s="531"/>
      <c r="L319" s="293"/>
    </row>
    <row r="320" spans="2:12" ht="16.2" thickBot="1" x14ac:dyDescent="0.35">
      <c r="B320" s="126" t="s">
        <v>1</v>
      </c>
      <c r="C320" s="989" t="s">
        <v>332</v>
      </c>
      <c r="D320" s="1024"/>
      <c r="E320" s="1052"/>
      <c r="F320" s="832"/>
      <c r="G320" s="126"/>
      <c r="H320" s="126"/>
      <c r="I320" s="852"/>
      <c r="J320" s="853"/>
      <c r="K320" s="794"/>
      <c r="L320" s="293"/>
    </row>
    <row r="321" spans="2:12" ht="16.2" thickBot="1" x14ac:dyDescent="0.35">
      <c r="B321" s="1361" t="s">
        <v>2</v>
      </c>
      <c r="C321" s="989" t="s">
        <v>333</v>
      </c>
      <c r="D321" s="1024"/>
      <c r="E321" s="1362"/>
      <c r="F321" s="832"/>
      <c r="G321" s="126"/>
      <c r="H321" s="126"/>
      <c r="I321" s="852"/>
      <c r="J321" s="853"/>
      <c r="K321" s="794"/>
      <c r="L321" s="293"/>
    </row>
    <row r="322" spans="2:12" s="693" customFormat="1" ht="16.2" customHeight="1" thickBot="1" x14ac:dyDescent="0.35">
      <c r="B322" s="2079">
        <v>1</v>
      </c>
      <c r="C322" s="2092" t="s">
        <v>120</v>
      </c>
      <c r="D322" s="2085" t="s">
        <v>22</v>
      </c>
      <c r="E322" s="1031" t="s">
        <v>3</v>
      </c>
      <c r="F322" s="1379">
        <f t="shared" ref="F322:F327" si="50">J322*0.25</f>
        <v>0.25</v>
      </c>
      <c r="G322" s="1380">
        <f t="shared" ref="G322:G327" si="51">J322*0.25</f>
        <v>0.25</v>
      </c>
      <c r="H322" s="1380">
        <f t="shared" ref="H322:H327" si="52">J322*0.25</f>
        <v>0.25</v>
      </c>
      <c r="I322" s="1381">
        <f t="shared" ref="I322:I327" si="53">J322*0.25</f>
        <v>0.25</v>
      </c>
      <c r="J322" s="1382">
        <v>1</v>
      </c>
      <c r="K322" s="773"/>
      <c r="L322" s="692"/>
    </row>
    <row r="323" spans="2:12" s="693" customFormat="1" ht="15" customHeight="1" thickBot="1" x14ac:dyDescent="0.35">
      <c r="B323" s="2080"/>
      <c r="C323" s="2093"/>
      <c r="D323" s="2085"/>
      <c r="E323" s="1031" t="s">
        <v>11</v>
      </c>
      <c r="F323" s="1379">
        <f t="shared" si="50"/>
        <v>0</v>
      </c>
      <c r="G323" s="1380">
        <f t="shared" si="51"/>
        <v>0</v>
      </c>
      <c r="H323" s="1380">
        <f t="shared" si="52"/>
        <v>0</v>
      </c>
      <c r="I323" s="1381">
        <f t="shared" si="53"/>
        <v>0</v>
      </c>
      <c r="J323" s="1383"/>
      <c r="K323" s="773"/>
      <c r="L323" s="692"/>
    </row>
    <row r="324" spans="2:12" ht="15" customHeight="1" thickBot="1" x14ac:dyDescent="0.35">
      <c r="B324" s="2081"/>
      <c r="C324" s="2094"/>
      <c r="D324" s="2085"/>
      <c r="E324" s="1031" t="s">
        <v>23</v>
      </c>
      <c r="F324" s="1379">
        <f t="shared" si="50"/>
        <v>1000000</v>
      </c>
      <c r="G324" s="1380">
        <f t="shared" si="51"/>
        <v>1000000</v>
      </c>
      <c r="H324" s="1380">
        <f t="shared" si="52"/>
        <v>1000000</v>
      </c>
      <c r="I324" s="1381">
        <f t="shared" si="53"/>
        <v>1000000</v>
      </c>
      <c r="J324" s="1378">
        <f>' Municipal Projects APP '!H18</f>
        <v>4000000</v>
      </c>
      <c r="K324" s="768"/>
      <c r="L324" s="293"/>
    </row>
    <row r="325" spans="2:12" ht="15" customHeight="1" thickBot="1" x14ac:dyDescent="0.35">
      <c r="B325" s="2079">
        <v>2</v>
      </c>
      <c r="C325" s="2092" t="s">
        <v>153</v>
      </c>
      <c r="D325" s="2085" t="s">
        <v>22</v>
      </c>
      <c r="E325" s="1031" t="s">
        <v>3</v>
      </c>
      <c r="F325" s="1379">
        <f t="shared" si="50"/>
        <v>0.25</v>
      </c>
      <c r="G325" s="1380">
        <f t="shared" si="51"/>
        <v>0.25</v>
      </c>
      <c r="H325" s="1380">
        <f t="shared" si="52"/>
        <v>0.25</v>
      </c>
      <c r="I325" s="1381">
        <f t="shared" si="53"/>
        <v>0.25</v>
      </c>
      <c r="J325" s="1382">
        <v>1</v>
      </c>
      <c r="K325" s="768"/>
      <c r="L325" s="293"/>
    </row>
    <row r="326" spans="2:12" ht="15" customHeight="1" thickBot="1" x14ac:dyDescent="0.35">
      <c r="B326" s="2080"/>
      <c r="C326" s="2093"/>
      <c r="D326" s="2085"/>
      <c r="E326" s="1031" t="s">
        <v>11</v>
      </c>
      <c r="F326" s="1379">
        <f t="shared" si="50"/>
        <v>0</v>
      </c>
      <c r="G326" s="1380">
        <f t="shared" si="51"/>
        <v>0</v>
      </c>
      <c r="H326" s="1380">
        <f t="shared" si="52"/>
        <v>0</v>
      </c>
      <c r="I326" s="1381">
        <f t="shared" si="53"/>
        <v>0</v>
      </c>
      <c r="J326" s="1378"/>
      <c r="K326" s="768"/>
      <c r="L326" s="293"/>
    </row>
    <row r="327" spans="2:12" ht="15" customHeight="1" thickBot="1" x14ac:dyDescent="0.35">
      <c r="B327" s="2081"/>
      <c r="C327" s="2094"/>
      <c r="D327" s="2085"/>
      <c r="E327" s="1031" t="s">
        <v>23</v>
      </c>
      <c r="F327" s="1379">
        <f t="shared" si="50"/>
        <v>2362223</v>
      </c>
      <c r="G327" s="1380">
        <f t="shared" si="51"/>
        <v>2362223</v>
      </c>
      <c r="H327" s="1380">
        <f t="shared" si="52"/>
        <v>2362223</v>
      </c>
      <c r="I327" s="1381">
        <f t="shared" si="53"/>
        <v>2362223</v>
      </c>
      <c r="J327" s="1378">
        <f>' Municipal Projects APP '!H21</f>
        <v>9448892</v>
      </c>
      <c r="K327" s="768"/>
      <c r="L327" s="293"/>
    </row>
    <row r="328" spans="2:12" s="693" customFormat="1" ht="16.5" customHeight="1" thickBot="1" x14ac:dyDescent="0.35">
      <c r="B328" s="2079">
        <v>2</v>
      </c>
      <c r="C328" s="2092" t="s">
        <v>436</v>
      </c>
      <c r="D328" s="2085" t="s">
        <v>22</v>
      </c>
      <c r="E328" s="1031" t="s">
        <v>3</v>
      </c>
      <c r="F328" s="1379">
        <f>J328</f>
        <v>1</v>
      </c>
      <c r="G328" s="1380"/>
      <c r="H328" s="1380"/>
      <c r="I328" s="1384"/>
      <c r="J328" s="1382">
        <v>1</v>
      </c>
      <c r="K328" s="773"/>
      <c r="L328" s="692"/>
    </row>
    <row r="329" spans="2:12" s="693" customFormat="1" ht="16.5" customHeight="1" thickBot="1" x14ac:dyDescent="0.35">
      <c r="B329" s="2080"/>
      <c r="C329" s="2093"/>
      <c r="D329" s="2085"/>
      <c r="E329" s="1031" t="s">
        <v>11</v>
      </c>
      <c r="F329" s="1379">
        <f>J329</f>
        <v>0</v>
      </c>
      <c r="G329" s="1380"/>
      <c r="H329" s="1380"/>
      <c r="I329" s="1384"/>
      <c r="J329" s="1383"/>
      <c r="K329" s="773"/>
      <c r="L329" s="692"/>
    </row>
    <row r="330" spans="2:12" ht="15" customHeight="1" thickBot="1" x14ac:dyDescent="0.35">
      <c r="B330" s="2081"/>
      <c r="C330" s="2094"/>
      <c r="D330" s="2085"/>
      <c r="E330" s="1031" t="s">
        <v>23</v>
      </c>
      <c r="F330" s="1379">
        <f>J330</f>
        <v>1500000</v>
      </c>
      <c r="G330" s="1380"/>
      <c r="H330" s="1380"/>
      <c r="I330" s="1384"/>
      <c r="J330" s="1378">
        <f>'State projects APP'!H24</f>
        <v>1500000</v>
      </c>
      <c r="K330" s="768"/>
      <c r="L330" s="293"/>
    </row>
    <row r="331" spans="2:12" ht="15" customHeight="1" thickBot="1" x14ac:dyDescent="0.35">
      <c r="B331" s="2079">
        <v>3</v>
      </c>
      <c r="C331" s="2107" t="s">
        <v>608</v>
      </c>
      <c r="D331" s="2085" t="s">
        <v>22</v>
      </c>
      <c r="E331" s="1031" t="s">
        <v>3</v>
      </c>
      <c r="F331" s="1379">
        <f>J331*0.5</f>
        <v>0.5</v>
      </c>
      <c r="G331" s="1380">
        <f>J331*0.5</f>
        <v>0.5</v>
      </c>
      <c r="H331" s="1380"/>
      <c r="I331" s="1381"/>
      <c r="J331" s="1378">
        <v>1</v>
      </c>
      <c r="K331" s="768"/>
      <c r="L331" s="293"/>
    </row>
    <row r="332" spans="2:12" ht="15" customHeight="1" thickBot="1" x14ac:dyDescent="0.35">
      <c r="B332" s="2080"/>
      <c r="C332" s="2108"/>
      <c r="D332" s="2085"/>
      <c r="E332" s="1031" t="s">
        <v>11</v>
      </c>
      <c r="F332" s="1379">
        <f>J332*0.5</f>
        <v>0</v>
      </c>
      <c r="G332" s="1380">
        <f>J332*0.5</f>
        <v>0</v>
      </c>
      <c r="H332" s="1380"/>
      <c r="I332" s="1381"/>
      <c r="J332" s="1378"/>
      <c r="K332" s="768"/>
      <c r="L332" s="293"/>
    </row>
    <row r="333" spans="2:12" ht="15" customHeight="1" thickBot="1" x14ac:dyDescent="0.35">
      <c r="B333" s="2081"/>
      <c r="C333" s="2109"/>
      <c r="D333" s="2085"/>
      <c r="E333" s="1031" t="s">
        <v>23</v>
      </c>
      <c r="F333" s="1379">
        <f>J333*0.5</f>
        <v>792500</v>
      </c>
      <c r="G333" s="1380">
        <f>J333*0.5</f>
        <v>792500</v>
      </c>
      <c r="H333" s="1380"/>
      <c r="I333" s="1381"/>
      <c r="J333" s="1378">
        <f>'State projects APP'!H21</f>
        <v>1585000</v>
      </c>
      <c r="K333" s="768"/>
      <c r="L333" s="293"/>
    </row>
    <row r="334" spans="2:12" ht="15" customHeight="1" thickBot="1" x14ac:dyDescent="0.35">
      <c r="B334" s="2079"/>
      <c r="C334" s="2086" t="s">
        <v>410</v>
      </c>
      <c r="D334" s="2085" t="s">
        <v>22</v>
      </c>
      <c r="E334" s="1031" t="s">
        <v>3</v>
      </c>
      <c r="F334" s="1385">
        <f>F322+F325+F328+F331</f>
        <v>2</v>
      </c>
      <c r="G334" s="1385">
        <f>G322+G325+G328+G331</f>
        <v>1</v>
      </c>
      <c r="H334" s="1385">
        <f>H322+H325+H328+H331</f>
        <v>0.5</v>
      </c>
      <c r="I334" s="1385">
        <f>I322+I325+I328+I331</f>
        <v>0.5</v>
      </c>
      <c r="J334" s="1385">
        <f>J322+J325+J328+J331</f>
        <v>4</v>
      </c>
      <c r="K334" s="768"/>
      <c r="L334" s="293"/>
    </row>
    <row r="335" spans="2:12" ht="15" customHeight="1" thickBot="1" x14ac:dyDescent="0.35">
      <c r="B335" s="2080"/>
      <c r="C335" s="2087"/>
      <c r="D335" s="2085"/>
      <c r="E335" s="1031" t="s">
        <v>11</v>
      </c>
      <c r="F335" s="1379"/>
      <c r="G335" s="1386">
        <f>J335*0.25</f>
        <v>0</v>
      </c>
      <c r="H335" s="1386">
        <f>J335*0.5</f>
        <v>0</v>
      </c>
      <c r="I335" s="1387">
        <f>J335*0.25</f>
        <v>0</v>
      </c>
      <c r="J335" s="1378"/>
      <c r="K335" s="768"/>
      <c r="L335" s="293"/>
    </row>
    <row r="336" spans="2:12" ht="15" customHeight="1" thickBot="1" x14ac:dyDescent="0.35">
      <c r="B336" s="2081"/>
      <c r="C336" s="2088"/>
      <c r="D336" s="2085"/>
      <c r="E336" s="1031" t="s">
        <v>23</v>
      </c>
      <c r="F336" s="1385">
        <f>F324+F327+F330+F333</f>
        <v>5654723</v>
      </c>
      <c r="G336" s="1385">
        <f>G324+G327+G330+G333</f>
        <v>4154723</v>
      </c>
      <c r="H336" s="1385">
        <f>H324+H327+H330+H333</f>
        <v>3362223</v>
      </c>
      <c r="I336" s="1385">
        <f>I324+I327+I330+I333</f>
        <v>3362223</v>
      </c>
      <c r="J336" s="1385">
        <f>J324+J327+J330+J333</f>
        <v>16533892</v>
      </c>
      <c r="K336" s="795">
        <f>K327+K324</f>
        <v>0</v>
      </c>
      <c r="L336" s="293"/>
    </row>
    <row r="337" spans="2:15" ht="15" customHeight="1" thickBot="1" x14ac:dyDescent="0.35">
      <c r="B337" s="126"/>
      <c r="C337" s="989" t="s">
        <v>411</v>
      </c>
      <c r="D337" s="1024"/>
      <c r="E337" s="1052"/>
      <c r="F337" s="1388">
        <f t="shared" ref="F337:I338" si="54">F336</f>
        <v>5654723</v>
      </c>
      <c r="G337" s="1388">
        <f t="shared" si="54"/>
        <v>4154723</v>
      </c>
      <c r="H337" s="1388">
        <f t="shared" si="54"/>
        <v>3362223</v>
      </c>
      <c r="I337" s="1388">
        <f t="shared" si="54"/>
        <v>3362223</v>
      </c>
      <c r="J337" s="1388">
        <f>J336</f>
        <v>16533892</v>
      </c>
      <c r="K337" s="794"/>
      <c r="L337" s="293"/>
    </row>
    <row r="338" spans="2:15" s="1353" customFormat="1" ht="16.2" thickBot="1" x14ac:dyDescent="0.35">
      <c r="B338" s="150"/>
      <c r="C338" s="1363" t="s">
        <v>334</v>
      </c>
      <c r="D338" s="1364" t="s">
        <v>138</v>
      </c>
      <c r="E338" s="1365"/>
      <c r="F338" s="1389">
        <f t="shared" si="54"/>
        <v>5654723</v>
      </c>
      <c r="G338" s="1389">
        <f t="shared" si="54"/>
        <v>4154723</v>
      </c>
      <c r="H338" s="1389">
        <f t="shared" si="54"/>
        <v>3362223</v>
      </c>
      <c r="I338" s="1389">
        <f t="shared" si="54"/>
        <v>3362223</v>
      </c>
      <c r="J338" s="1389">
        <f>J337</f>
        <v>16533892</v>
      </c>
      <c r="K338" s="1366"/>
      <c r="L338" s="1358"/>
    </row>
    <row r="339" spans="2:15" ht="30.6" customHeight="1" thickBot="1" x14ac:dyDescent="0.35">
      <c r="B339" s="924"/>
      <c r="C339" s="951" t="s">
        <v>232</v>
      </c>
      <c r="D339" s="1016"/>
      <c r="E339" s="1053"/>
      <c r="F339" s="947"/>
      <c r="G339" s="947"/>
      <c r="H339" s="947"/>
      <c r="I339" s="948"/>
      <c r="J339" s="418"/>
      <c r="K339" s="775"/>
    </row>
    <row r="340" spans="2:15" s="693" customFormat="1" ht="15" customHeight="1" thickBot="1" x14ac:dyDescent="0.35">
      <c r="B340" s="2076">
        <v>1</v>
      </c>
      <c r="C340" s="2073"/>
      <c r="D340" s="2070"/>
      <c r="E340" s="1031"/>
      <c r="F340" s="949"/>
      <c r="G340" s="949"/>
      <c r="H340" s="949"/>
      <c r="I340" s="950"/>
      <c r="J340" s="705"/>
      <c r="K340" s="773"/>
    </row>
    <row r="341" spans="2:15" s="693" customFormat="1" ht="15" customHeight="1" thickBot="1" x14ac:dyDescent="0.35">
      <c r="B341" s="2077"/>
      <c r="C341" s="2074"/>
      <c r="D341" s="2071"/>
      <c r="E341" s="1031"/>
      <c r="F341" s="949"/>
      <c r="G341" s="949"/>
      <c r="H341" s="949"/>
      <c r="I341" s="950"/>
      <c r="J341" s="705"/>
      <c r="K341" s="773"/>
    </row>
    <row r="342" spans="2:15" s="693" customFormat="1" ht="15" customHeight="1" thickBot="1" x14ac:dyDescent="0.35">
      <c r="B342" s="2078"/>
      <c r="C342" s="2075"/>
      <c r="D342" s="2072"/>
      <c r="E342" s="1031"/>
      <c r="F342" s="949"/>
      <c r="G342" s="949"/>
      <c r="H342" s="949"/>
      <c r="I342" s="950"/>
      <c r="J342" s="705"/>
      <c r="K342" s="773"/>
    </row>
    <row r="343" spans="2:15" s="1353" customFormat="1" ht="15" customHeight="1" thickBot="1" x14ac:dyDescent="0.35">
      <c r="B343" s="1367"/>
      <c r="C343" s="1368" t="s">
        <v>612</v>
      </c>
      <c r="D343" s="1369"/>
      <c r="E343" s="1370"/>
      <c r="F343" s="1371"/>
      <c r="G343" s="1371"/>
      <c r="H343" s="1371"/>
      <c r="I343" s="1372"/>
      <c r="J343" s="1344"/>
      <c r="K343" s="1366"/>
    </row>
    <row r="344" spans="2:15" thickBot="1" x14ac:dyDescent="0.35">
      <c r="B344" s="329">
        <v>6</v>
      </c>
      <c r="C344" s="964" t="s">
        <v>25</v>
      </c>
      <c r="D344" s="1004"/>
      <c r="E344" s="1034"/>
      <c r="F344" s="821"/>
      <c r="G344" s="329"/>
      <c r="H344" s="329"/>
      <c r="I344" s="840"/>
      <c r="J344" s="418"/>
      <c r="K344" s="775"/>
    </row>
    <row r="345" spans="2:15" ht="15" thickBot="1" x14ac:dyDescent="0.35">
      <c r="B345" s="307">
        <v>6.1</v>
      </c>
      <c r="C345" s="961" t="s">
        <v>26</v>
      </c>
      <c r="D345" s="1025"/>
      <c r="E345" s="1054"/>
      <c r="F345" s="1377"/>
      <c r="G345" s="1756">
        <v>835000</v>
      </c>
      <c r="H345" s="1756">
        <v>1048000</v>
      </c>
      <c r="I345" s="1756">
        <v>342000</v>
      </c>
      <c r="J345" s="1378">
        <f>F345+G345+H345+I345</f>
        <v>2225000</v>
      </c>
      <c r="K345" s="768"/>
    </row>
    <row r="346" spans="2:15" ht="15" thickBot="1" x14ac:dyDescent="0.35">
      <c r="B346" s="307">
        <v>6.2</v>
      </c>
      <c r="C346" s="961" t="s">
        <v>29</v>
      </c>
      <c r="D346" s="1025"/>
      <c r="E346" s="1054"/>
      <c r="F346" s="1377"/>
      <c r="G346" s="1757">
        <v>2815160.02</v>
      </c>
      <c r="H346" s="1757">
        <v>0</v>
      </c>
      <c r="I346" s="1757">
        <v>0</v>
      </c>
      <c r="J346" s="1378">
        <f>F346+G346+H346+I346</f>
        <v>2815160.02</v>
      </c>
      <c r="K346" s="768"/>
      <c r="M346" s="534">
        <f>2000000+J338</f>
        <v>18533892</v>
      </c>
    </row>
    <row r="347" spans="2:15" s="1353" customFormat="1" thickBot="1" x14ac:dyDescent="0.35">
      <c r="B347" s="1373"/>
      <c r="C347" s="1374" t="s">
        <v>25</v>
      </c>
      <c r="D347" s="1355"/>
      <c r="E347" s="1375"/>
      <c r="F347" s="1344">
        <f t="shared" ref="F347:K347" si="55">F345+F346</f>
        <v>0</v>
      </c>
      <c r="G347" s="1344">
        <f t="shared" si="55"/>
        <v>3650160.02</v>
      </c>
      <c r="H347" s="1344">
        <f t="shared" si="55"/>
        <v>1048000</v>
      </c>
      <c r="I347" s="1344">
        <f t="shared" si="55"/>
        <v>342000</v>
      </c>
      <c r="J347" s="1344">
        <f>J345+J346</f>
        <v>5040160.0199999996</v>
      </c>
      <c r="K347" s="1376">
        <f t="shared" si="55"/>
        <v>0</v>
      </c>
    </row>
    <row r="348" spans="2:15" thickBot="1" x14ac:dyDescent="0.35">
      <c r="B348" s="335"/>
      <c r="C348" s="990" t="s">
        <v>338</v>
      </c>
      <c r="D348" s="753"/>
      <c r="E348" s="762"/>
      <c r="F348" s="337">
        <f>F205+F303+F318+F338+F343+F347</f>
        <v>41286852.740000002</v>
      </c>
      <c r="G348" s="337">
        <f>G205+G303+G318+G338+G343+G347</f>
        <v>44640919.290000007</v>
      </c>
      <c r="H348" s="337">
        <f>H205+H303+H318+H338+H343+H347</f>
        <v>75332295.540000007</v>
      </c>
      <c r="I348" s="337">
        <f>I205+I303+I318+I338+I343+I347</f>
        <v>40540259.270000003</v>
      </c>
      <c r="J348" s="337">
        <f>J205+J303+J318+J338+J343+J347</f>
        <v>201800326.84</v>
      </c>
      <c r="K348" s="776">
        <v>0</v>
      </c>
      <c r="M348" s="289">
        <v>174266434.83000001</v>
      </c>
    </row>
    <row r="349" spans="2:15" x14ac:dyDescent="0.3">
      <c r="C349" s="991"/>
      <c r="D349" s="1026"/>
      <c r="E349" s="1026"/>
      <c r="I349" s="814"/>
      <c r="M349" s="534">
        <f>M346+M348</f>
        <v>192800326.83000001</v>
      </c>
    </row>
    <row r="350" spans="2:15" x14ac:dyDescent="0.3">
      <c r="C350" s="991"/>
      <c r="D350" s="1026"/>
      <c r="E350" s="1026"/>
      <c r="I350" s="814"/>
      <c r="J350" s="420"/>
      <c r="K350" s="796" t="e">
        <f>K348+#REF!+#REF!</f>
        <v>#REF!</v>
      </c>
    </row>
    <row r="351" spans="2:15" x14ac:dyDescent="0.3">
      <c r="C351" s="991"/>
      <c r="D351" s="1026"/>
      <c r="E351" s="1026"/>
      <c r="F351" s="1710">
        <f>F316+F321+F325+F329+F333+F336+F339+F345+F350</f>
        <v>17636903.219999999</v>
      </c>
      <c r="G351" s="1710">
        <f>G316+G321+G325+G329+G333+G336+G339+G345+G350</f>
        <v>5782223.25</v>
      </c>
      <c r="H351" s="1710">
        <f>H316+H321+H325+H329+H333+H336+H339+H345+H350</f>
        <v>4410223.25</v>
      </c>
      <c r="I351" s="814"/>
      <c r="K351" s="797"/>
      <c r="M351" s="1710">
        <f>M316+M321+M325+M329+M333+M336+M339+M345+M350</f>
        <v>0</v>
      </c>
      <c r="N351" s="1710">
        <f>N316+N321+N325+N329+N333+N336+N339+N345+N350</f>
        <v>0</v>
      </c>
      <c r="O351" s="1710">
        <f>O316+O321+O325+O329+O333+O336+O339+O345+O350</f>
        <v>0</v>
      </c>
    </row>
    <row r="352" spans="2:15" x14ac:dyDescent="0.3">
      <c r="C352" s="991"/>
      <c r="D352" s="1026"/>
      <c r="E352" s="1026"/>
      <c r="F352" s="1714">
        <v>2815160.02</v>
      </c>
      <c r="G352" s="1714">
        <v>0</v>
      </c>
      <c r="H352" s="1714">
        <v>0</v>
      </c>
      <c r="I352" s="814">
        <f>F348+G348+H348+I348</f>
        <v>201800326.84</v>
      </c>
      <c r="J352" s="290">
        <f>J348+612642.26</f>
        <v>202412969.09999999</v>
      </c>
    </row>
    <row r="353" spans="3:10" x14ac:dyDescent="0.3">
      <c r="C353" s="991"/>
      <c r="D353" s="1026"/>
      <c r="E353" s="1026"/>
      <c r="I353" s="814"/>
      <c r="J353" s="290">
        <f>F348+G348+H348+I348</f>
        <v>201800326.84</v>
      </c>
    </row>
    <row r="354" spans="3:10" x14ac:dyDescent="0.3">
      <c r="C354" s="991"/>
      <c r="D354" s="1026"/>
      <c r="E354" s="1026"/>
      <c r="I354" s="814"/>
    </row>
    <row r="355" spans="3:10" x14ac:dyDescent="0.3">
      <c r="C355" s="991"/>
      <c r="D355" s="1026"/>
      <c r="E355" s="1026"/>
      <c r="I355" s="814"/>
    </row>
    <row r="356" spans="3:10" x14ac:dyDescent="0.3">
      <c r="C356" s="991"/>
      <c r="D356" s="1026"/>
      <c r="E356" s="1026"/>
      <c r="I356" s="814"/>
    </row>
    <row r="357" spans="3:10" x14ac:dyDescent="0.3">
      <c r="C357" s="991"/>
      <c r="D357" s="1026"/>
      <c r="E357" s="1026"/>
      <c r="I357" s="814"/>
    </row>
    <row r="358" spans="3:10" x14ac:dyDescent="0.3">
      <c r="C358" s="991"/>
      <c r="D358" s="1026"/>
      <c r="E358" s="1026"/>
      <c r="I358" s="814"/>
    </row>
    <row r="359" spans="3:10" x14ac:dyDescent="0.3">
      <c r="C359" s="991"/>
      <c r="D359" s="1026"/>
      <c r="E359" s="1026"/>
      <c r="I359" s="814"/>
    </row>
    <row r="360" spans="3:10" x14ac:dyDescent="0.3">
      <c r="C360" s="991"/>
      <c r="D360" s="1026"/>
      <c r="E360" s="1026"/>
      <c r="I360" s="814"/>
    </row>
    <row r="361" spans="3:10" x14ac:dyDescent="0.3">
      <c r="C361" s="991"/>
      <c r="D361" s="1026"/>
      <c r="E361" s="1026"/>
      <c r="I361" s="814"/>
    </row>
    <row r="362" spans="3:10" x14ac:dyDescent="0.3">
      <c r="C362" s="991"/>
      <c r="D362" s="1026"/>
      <c r="E362" s="1026"/>
      <c r="I362" s="814"/>
    </row>
    <row r="363" spans="3:10" x14ac:dyDescent="0.3">
      <c r="C363" s="991"/>
      <c r="D363" s="1026"/>
      <c r="E363" s="1026"/>
      <c r="I363" s="814"/>
    </row>
    <row r="364" spans="3:10" x14ac:dyDescent="0.3">
      <c r="C364" s="991"/>
      <c r="D364" s="1026"/>
      <c r="E364" s="1026"/>
      <c r="I364" s="814"/>
    </row>
    <row r="365" spans="3:10" x14ac:dyDescent="0.3">
      <c r="C365" s="991"/>
      <c r="D365" s="1026"/>
      <c r="E365" s="1026"/>
      <c r="I365" s="814"/>
    </row>
    <row r="366" spans="3:10" x14ac:dyDescent="0.3">
      <c r="C366" s="991"/>
      <c r="D366" s="1026"/>
      <c r="E366" s="1026"/>
      <c r="I366" s="814"/>
    </row>
  </sheetData>
  <mergeCells count="293">
    <mergeCell ref="D256:D258"/>
    <mergeCell ref="B259:B261"/>
    <mergeCell ref="C259:C261"/>
    <mergeCell ref="D259:D261"/>
    <mergeCell ref="B18:B20"/>
    <mergeCell ref="C18:C20"/>
    <mergeCell ref="D18:D20"/>
    <mergeCell ref="B57:B59"/>
    <mergeCell ref="C57:C59"/>
    <mergeCell ref="D57:D59"/>
    <mergeCell ref="D199:D201"/>
    <mergeCell ref="B202:B204"/>
    <mergeCell ref="C202:C204"/>
    <mergeCell ref="D202:D204"/>
    <mergeCell ref="B116:B118"/>
    <mergeCell ref="C116:C118"/>
    <mergeCell ref="B119:B121"/>
    <mergeCell ref="C119:C121"/>
    <mergeCell ref="B122:B124"/>
    <mergeCell ref="C122:C124"/>
    <mergeCell ref="B106:B108"/>
    <mergeCell ref="C106:C108"/>
    <mergeCell ref="B162:B164"/>
    <mergeCell ref="B78:B80"/>
    <mergeCell ref="C78:C80"/>
    <mergeCell ref="B184:B186"/>
    <mergeCell ref="C184:C186"/>
    <mergeCell ref="B192:B194"/>
    <mergeCell ref="C192:C194"/>
    <mergeCell ref="B175:B177"/>
    <mergeCell ref="C175:C177"/>
    <mergeCell ref="B168:B170"/>
    <mergeCell ref="C168:C170"/>
    <mergeCell ref="C162:C164"/>
    <mergeCell ref="C165:C167"/>
    <mergeCell ref="B149:B151"/>
    <mergeCell ref="B215:B217"/>
    <mergeCell ref="C215:C217"/>
    <mergeCell ref="C310:C312"/>
    <mergeCell ref="B285:B287"/>
    <mergeCell ref="C285:C287"/>
    <mergeCell ref="B271:B273"/>
    <mergeCell ref="C271:C273"/>
    <mergeCell ref="B282:B284"/>
    <mergeCell ref="C282:C284"/>
    <mergeCell ref="B289:B291"/>
    <mergeCell ref="C289:C291"/>
    <mergeCell ref="B292:B294"/>
    <mergeCell ref="C292:C294"/>
    <mergeCell ref="B278:B280"/>
    <mergeCell ref="C278:C280"/>
    <mergeCell ref="B221:B223"/>
    <mergeCell ref="B218:B220"/>
    <mergeCell ref="B256:B258"/>
    <mergeCell ref="C256:C258"/>
    <mergeCell ref="B102:B104"/>
    <mergeCell ref="C102:C104"/>
    <mergeCell ref="B109:B111"/>
    <mergeCell ref="C109:C111"/>
    <mergeCell ref="B155:B157"/>
    <mergeCell ref="C155:C157"/>
    <mergeCell ref="B60:B62"/>
    <mergeCell ref="C60:C62"/>
    <mergeCell ref="C140:C142"/>
    <mergeCell ref="B143:B145"/>
    <mergeCell ref="C143:C145"/>
    <mergeCell ref="B128:B130"/>
    <mergeCell ref="C128:C130"/>
    <mergeCell ref="B81:B83"/>
    <mergeCell ref="C81:C83"/>
    <mergeCell ref="B113:B115"/>
    <mergeCell ref="C113:C115"/>
    <mergeCell ref="B72:B74"/>
    <mergeCell ref="C72:C74"/>
    <mergeCell ref="B75:B77"/>
    <mergeCell ref="C75:C77"/>
    <mergeCell ref="B152:B154"/>
    <mergeCell ref="C152:C154"/>
    <mergeCell ref="B99:B101"/>
    <mergeCell ref="C99:C101"/>
    <mergeCell ref="B63:B65"/>
    <mergeCell ref="C63:C65"/>
    <mergeCell ref="B66:B68"/>
    <mergeCell ref="C66:C68"/>
    <mergeCell ref="B69:B71"/>
    <mergeCell ref="C69:C71"/>
    <mergeCell ref="B96:B98"/>
    <mergeCell ref="C96:C98"/>
    <mergeCell ref="B93:B95"/>
    <mergeCell ref="C93:C95"/>
    <mergeCell ref="B90:B92"/>
    <mergeCell ref="C90:C92"/>
    <mergeCell ref="B87:B89"/>
    <mergeCell ref="C87:C89"/>
    <mergeCell ref="B84:B86"/>
    <mergeCell ref="C84:C86"/>
    <mergeCell ref="D51:D53"/>
    <mergeCell ref="B30:B32"/>
    <mergeCell ref="C30:C32"/>
    <mergeCell ref="D54:D56"/>
    <mergeCell ref="B36:B38"/>
    <mergeCell ref="B42:B44"/>
    <mergeCell ref="C42:C44"/>
    <mergeCell ref="B45:B47"/>
    <mergeCell ref="C45:C47"/>
    <mergeCell ref="B48:B50"/>
    <mergeCell ref="C48:C50"/>
    <mergeCell ref="D24:D26"/>
    <mergeCell ref="D27:D29"/>
    <mergeCell ref="D30:D32"/>
    <mergeCell ref="D33:D35"/>
    <mergeCell ref="D36:D38"/>
    <mergeCell ref="D39:D41"/>
    <mergeCell ref="D42:D44"/>
    <mergeCell ref="D45:D47"/>
    <mergeCell ref="D48:D50"/>
    <mergeCell ref="B12:B14"/>
    <mergeCell ref="C12:C14"/>
    <mergeCell ref="B15:B17"/>
    <mergeCell ref="C15:C17"/>
    <mergeCell ref="B21:B23"/>
    <mergeCell ref="E3:E5"/>
    <mergeCell ref="D12:D14"/>
    <mergeCell ref="D15:D17"/>
    <mergeCell ref="D21:D23"/>
    <mergeCell ref="B2:K2"/>
    <mergeCell ref="B3:B4"/>
    <mergeCell ref="C3:C4"/>
    <mergeCell ref="D3:D4"/>
    <mergeCell ref="K3:K5"/>
    <mergeCell ref="F3:I3"/>
    <mergeCell ref="F5:I5"/>
    <mergeCell ref="J3:J5"/>
    <mergeCell ref="D60:D62"/>
    <mergeCell ref="B6:K6"/>
    <mergeCell ref="C36:C38"/>
    <mergeCell ref="B39:B41"/>
    <mergeCell ref="C39:C41"/>
    <mergeCell ref="C21:C23"/>
    <mergeCell ref="C24:C26"/>
    <mergeCell ref="B24:B26"/>
    <mergeCell ref="B27:B29"/>
    <mergeCell ref="C27:C29"/>
    <mergeCell ref="B33:B35"/>
    <mergeCell ref="C33:C35"/>
    <mergeCell ref="B51:B53"/>
    <mergeCell ref="C51:C53"/>
    <mergeCell ref="B54:B56"/>
    <mergeCell ref="C54:C56"/>
    <mergeCell ref="D310:D312"/>
    <mergeCell ref="D292:D294"/>
    <mergeCell ref="D285:D287"/>
    <mergeCell ref="D334:D336"/>
    <mergeCell ref="D245:D247"/>
    <mergeCell ref="D328:D330"/>
    <mergeCell ref="D63:D65"/>
    <mergeCell ref="D66:D68"/>
    <mergeCell ref="D69:D71"/>
    <mergeCell ref="D72:D74"/>
    <mergeCell ref="D75:D77"/>
    <mergeCell ref="D99:D101"/>
    <mergeCell ref="D106:D108"/>
    <mergeCell ref="D102:D104"/>
    <mergeCell ref="D96:D98"/>
    <mergeCell ref="D93:D95"/>
    <mergeCell ref="D90:D92"/>
    <mergeCell ref="D87:D89"/>
    <mergeCell ref="D84:D86"/>
    <mergeCell ref="D81:D83"/>
    <mergeCell ref="D78:D80"/>
    <mergeCell ref="C206:J206"/>
    <mergeCell ref="C149:C151"/>
    <mergeCell ref="C245:C247"/>
    <mergeCell ref="B331:B333"/>
    <mergeCell ref="C331:C333"/>
    <mergeCell ref="D331:D333"/>
    <mergeCell ref="B242:B244"/>
    <mergeCell ref="B165:B167"/>
    <mergeCell ref="B172:B174"/>
    <mergeCell ref="D165:D167"/>
    <mergeCell ref="C172:C174"/>
    <mergeCell ref="C209:C211"/>
    <mergeCell ref="C233:C235"/>
    <mergeCell ref="C230:C232"/>
    <mergeCell ref="C227:C229"/>
    <mergeCell ref="B195:B197"/>
    <mergeCell ref="C242:C244"/>
    <mergeCell ref="C221:C223"/>
    <mergeCell ref="C195:C197"/>
    <mergeCell ref="B313:B315"/>
    <mergeCell ref="C313:C315"/>
    <mergeCell ref="C236:C238"/>
    <mergeCell ref="D195:D197"/>
    <mergeCell ref="D175:D177"/>
    <mergeCell ref="D168:D170"/>
    <mergeCell ref="D313:D315"/>
    <mergeCell ref="D227:D229"/>
    <mergeCell ref="D322:D324"/>
    <mergeCell ref="D325:D327"/>
    <mergeCell ref="B310:B312"/>
    <mergeCell ref="B249:B251"/>
    <mergeCell ref="D162:D164"/>
    <mergeCell ref="B212:B214"/>
    <mergeCell ref="C212:C214"/>
    <mergeCell ref="B199:B201"/>
    <mergeCell ref="C199:C201"/>
    <mergeCell ref="D296:D298"/>
    <mergeCell ref="D271:D273"/>
    <mergeCell ref="D278:D280"/>
    <mergeCell ref="D218:D220"/>
    <mergeCell ref="D215:D217"/>
    <mergeCell ref="D212:D214"/>
    <mergeCell ref="D184:D186"/>
    <mergeCell ref="D172:D174"/>
    <mergeCell ref="D192:D194"/>
    <mergeCell ref="D242:D244"/>
    <mergeCell ref="D236:D238"/>
    <mergeCell ref="D209:D211"/>
    <mergeCell ref="D265:D267"/>
    <mergeCell ref="D268:D270"/>
    <mergeCell ref="D252:D254"/>
    <mergeCell ref="C307:C309"/>
    <mergeCell ref="D221:D223"/>
    <mergeCell ref="D224:D226"/>
    <mergeCell ref="C249:C251"/>
    <mergeCell ref="C224:C226"/>
    <mergeCell ref="B236:B238"/>
    <mergeCell ref="B227:B229"/>
    <mergeCell ref="B224:B226"/>
    <mergeCell ref="B239:B241"/>
    <mergeCell ref="C239:C241"/>
    <mergeCell ref="D239:D241"/>
    <mergeCell ref="B230:B232"/>
    <mergeCell ref="B252:B254"/>
    <mergeCell ref="C252:C254"/>
    <mergeCell ref="B265:B267"/>
    <mergeCell ref="C265:C267"/>
    <mergeCell ref="D233:D235"/>
    <mergeCell ref="D230:D232"/>
    <mergeCell ref="D249:D251"/>
    <mergeCell ref="D275:D277"/>
    <mergeCell ref="D282:D284"/>
    <mergeCell ref="D289:D291"/>
    <mergeCell ref="D307:D309"/>
    <mergeCell ref="B245:B247"/>
    <mergeCell ref="D155:D157"/>
    <mergeCell ref="D109:D111"/>
    <mergeCell ref="D143:D145"/>
    <mergeCell ref="D146:D148"/>
    <mergeCell ref="D149:D151"/>
    <mergeCell ref="D152:D154"/>
    <mergeCell ref="D113:D115"/>
    <mergeCell ref="D116:D118"/>
    <mergeCell ref="B146:B148"/>
    <mergeCell ref="C146:C148"/>
    <mergeCell ref="B125:B127"/>
    <mergeCell ref="C125:C127"/>
    <mergeCell ref="B134:B136"/>
    <mergeCell ref="C134:C136"/>
    <mergeCell ref="B137:B139"/>
    <mergeCell ref="C137:C139"/>
    <mergeCell ref="D119:D121"/>
    <mergeCell ref="D122:D124"/>
    <mergeCell ref="D125:D127"/>
    <mergeCell ref="D134:D136"/>
    <mergeCell ref="D137:D139"/>
    <mergeCell ref="D140:D142"/>
    <mergeCell ref="D128:D130"/>
    <mergeCell ref="B140:B142"/>
    <mergeCell ref="D340:D342"/>
    <mergeCell ref="C340:C342"/>
    <mergeCell ref="B340:B342"/>
    <mergeCell ref="B159:B161"/>
    <mergeCell ref="C159:C161"/>
    <mergeCell ref="D159:D161"/>
    <mergeCell ref="B209:B211"/>
    <mergeCell ref="B233:B235"/>
    <mergeCell ref="B334:B336"/>
    <mergeCell ref="C334:C336"/>
    <mergeCell ref="C218:C220"/>
    <mergeCell ref="B328:B330"/>
    <mergeCell ref="C328:C330"/>
    <mergeCell ref="B268:B270"/>
    <mergeCell ref="C268:C270"/>
    <mergeCell ref="B275:B277"/>
    <mergeCell ref="C275:C277"/>
    <mergeCell ref="B296:B298"/>
    <mergeCell ref="C296:C298"/>
    <mergeCell ref="B322:B324"/>
    <mergeCell ref="C322:C324"/>
    <mergeCell ref="B325:B327"/>
    <mergeCell ref="C325:C327"/>
    <mergeCell ref="B307:B30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pane xSplit="6" ySplit="1" topLeftCell="G18" activePane="bottomRight" state="frozenSplit"/>
      <selection pane="topRight" activeCell="H1" sqref="H1"/>
      <selection pane="bottomLeft" activeCell="A14" sqref="A14"/>
      <selection pane="bottomRight" activeCell="B20" sqref="B20:G24"/>
    </sheetView>
  </sheetViews>
  <sheetFormatPr defaultColWidth="9.109375" defaultRowHeight="14.4" x14ac:dyDescent="0.3"/>
  <cols>
    <col min="1" max="1" width="9.109375" style="1618"/>
    <col min="2" max="2" width="5.44140625" style="1618" customWidth="1"/>
    <col min="3" max="3" width="30.109375" style="1618" customWidth="1"/>
    <col min="4" max="4" width="15" style="1618" bestFit="1" customWidth="1"/>
    <col min="5" max="5" width="21.77734375" style="1618" customWidth="1"/>
    <col min="6" max="6" width="19.6640625" style="1618" customWidth="1"/>
    <col min="7" max="7" width="20.5546875" style="166" customWidth="1"/>
    <col min="8" max="8" width="12.5546875" style="1618" bestFit="1" customWidth="1"/>
    <col min="9" max="9" width="32.6640625" style="1618" bestFit="1" customWidth="1"/>
    <col min="10" max="16384" width="9.109375" style="1618"/>
  </cols>
  <sheetData>
    <row r="1" spans="2:11" ht="37.200000000000003" customHeight="1" x14ac:dyDescent="0.3">
      <c r="B1" s="1617" t="s">
        <v>0</v>
      </c>
      <c r="C1" s="1617" t="s">
        <v>962</v>
      </c>
      <c r="D1" s="1617" t="s">
        <v>963</v>
      </c>
      <c r="E1" s="1617" t="s">
        <v>964</v>
      </c>
      <c r="F1" s="1617" t="s">
        <v>965</v>
      </c>
      <c r="G1" s="1617" t="s">
        <v>966</v>
      </c>
    </row>
    <row r="2" spans="2:11" ht="16.2" thickBot="1" x14ac:dyDescent="0.35">
      <c r="B2" s="134" t="s">
        <v>1</v>
      </c>
      <c r="C2" s="135" t="s">
        <v>159</v>
      </c>
      <c r="D2" s="135"/>
      <c r="E2" s="135"/>
      <c r="F2" s="136"/>
      <c r="G2" s="713" t="s">
        <v>615</v>
      </c>
      <c r="I2" s="1618">
        <f>7847.16/5</f>
        <v>1569.432</v>
      </c>
    </row>
    <row r="3" spans="2:11" ht="16.2" thickBot="1" x14ac:dyDescent="0.35">
      <c r="B3" s="137">
        <v>1</v>
      </c>
      <c r="C3" s="138" t="s">
        <v>173</v>
      </c>
      <c r="D3" s="138"/>
      <c r="E3" s="714"/>
      <c r="F3" s="712"/>
      <c r="G3" s="714" t="s">
        <v>615</v>
      </c>
    </row>
    <row r="4" spans="2:11" ht="16.8" customHeight="1" thickBot="1" x14ac:dyDescent="0.35">
      <c r="B4" s="137">
        <v>1.2</v>
      </c>
      <c r="C4" s="140" t="s">
        <v>299</v>
      </c>
      <c r="D4" s="147"/>
      <c r="E4" s="1835"/>
      <c r="F4" s="712"/>
      <c r="G4" s="715" t="s">
        <v>615</v>
      </c>
      <c r="H4" s="4"/>
      <c r="I4" s="1618" t="s">
        <v>616</v>
      </c>
      <c r="J4" s="1618" t="s">
        <v>617</v>
      </c>
      <c r="K4" s="1618" t="s">
        <v>354</v>
      </c>
    </row>
    <row r="5" spans="2:11" ht="30.6" customHeight="1" thickBot="1" x14ac:dyDescent="0.35">
      <c r="B5" s="1612" t="s">
        <v>178</v>
      </c>
      <c r="C5" s="1614" t="s">
        <v>960</v>
      </c>
      <c r="D5" s="1838">
        <f>E5+F5+G5</f>
        <v>1655000</v>
      </c>
      <c r="E5" s="1835">
        <f>'15. Maintenance action plan'!J7</f>
        <v>500000</v>
      </c>
      <c r="F5" s="716">
        <f>E5*1.1</f>
        <v>550000</v>
      </c>
      <c r="G5" s="716">
        <f>F5*1.1</f>
        <v>605000</v>
      </c>
      <c r="H5" s="4">
        <f>G5/4</f>
        <v>151250</v>
      </c>
      <c r="I5" s="1618" t="s">
        <v>618</v>
      </c>
      <c r="J5" s="1618">
        <v>7500000</v>
      </c>
      <c r="K5" s="1618">
        <f>J5/17001207.13</f>
        <v>0.44114514590941289</v>
      </c>
    </row>
    <row r="6" spans="2:11" ht="18" customHeight="1" thickBot="1" x14ac:dyDescent="0.35">
      <c r="B6" s="1839">
        <v>1.3</v>
      </c>
      <c r="C6" s="1840" t="s">
        <v>300</v>
      </c>
      <c r="D6" s="1838">
        <f t="shared" ref="D6:D9" si="0">E6+F6+G6</f>
        <v>0</v>
      </c>
      <c r="E6" s="1835">
        <v>0</v>
      </c>
      <c r="F6" s="716">
        <f t="shared" ref="F6:G9" si="1">E6*1.1</f>
        <v>0</v>
      </c>
      <c r="G6" s="716">
        <f t="shared" si="1"/>
        <v>0</v>
      </c>
      <c r="H6" s="4">
        <f t="shared" ref="H6:H24" si="2">G6/4</f>
        <v>0</v>
      </c>
      <c r="I6" s="1618" t="s">
        <v>164</v>
      </c>
      <c r="J6" s="1618">
        <v>5500000</v>
      </c>
      <c r="K6" s="1618">
        <f>J6/17001207.13</f>
        <v>0.32350644033356946</v>
      </c>
    </row>
    <row r="7" spans="2:11" ht="28.2" customHeight="1" thickBot="1" x14ac:dyDescent="0.35">
      <c r="B7" s="1613" t="s">
        <v>181</v>
      </c>
      <c r="C7" s="1615" t="s">
        <v>961</v>
      </c>
      <c r="D7" s="1838">
        <f t="shared" si="0"/>
        <v>12586283.771499999</v>
      </c>
      <c r="E7" s="1835">
        <f>'15. Maintenance action plan'!_ftnref1</f>
        <v>3802502.65</v>
      </c>
      <c r="F7" s="716">
        <f t="shared" si="1"/>
        <v>4182752.915</v>
      </c>
      <c r="G7" s="716">
        <f t="shared" si="1"/>
        <v>4601028.2065000003</v>
      </c>
      <c r="H7" s="4">
        <f t="shared" si="2"/>
        <v>1150257.0516250001</v>
      </c>
      <c r="I7" s="1618" t="s">
        <v>621</v>
      </c>
      <c r="J7" s="1618">
        <v>3001207.129999999</v>
      </c>
      <c r="K7" s="1618">
        <f>J7/17001207.13</f>
        <v>0.17652906096909596</v>
      </c>
    </row>
    <row r="8" spans="2:11" ht="31.8" customHeight="1" thickBot="1" x14ac:dyDescent="0.35">
      <c r="B8" s="1612">
        <v>1.4</v>
      </c>
      <c r="C8" s="1614" t="s">
        <v>554</v>
      </c>
      <c r="D8" s="1838">
        <f t="shared" si="0"/>
        <v>1655000</v>
      </c>
      <c r="E8" s="1835">
        <f>'15. Maintenance action plan'!J12</f>
        <v>500000</v>
      </c>
      <c r="F8" s="716">
        <f t="shared" si="1"/>
        <v>550000</v>
      </c>
      <c r="G8" s="716">
        <f t="shared" si="1"/>
        <v>605000</v>
      </c>
      <c r="H8" s="4"/>
    </row>
    <row r="9" spans="2:11" ht="31.8" thickBot="1" x14ac:dyDescent="0.35">
      <c r="B9" s="1612">
        <v>1.5</v>
      </c>
      <c r="C9" s="1614" t="s">
        <v>311</v>
      </c>
      <c r="D9" s="1838">
        <f t="shared" si="0"/>
        <v>4096292.3205000004</v>
      </c>
      <c r="E9" s="1835">
        <f>'15. Maintenance action plan'!J14</f>
        <v>1237550.55</v>
      </c>
      <c r="F9" s="716">
        <f t="shared" si="1"/>
        <v>1361305.6050000002</v>
      </c>
      <c r="G9" s="716">
        <f t="shared" si="1"/>
        <v>1497436.1655000004</v>
      </c>
      <c r="H9" s="4">
        <f t="shared" si="2"/>
        <v>374359.04137500009</v>
      </c>
    </row>
    <row r="10" spans="2:11" s="2" customFormat="1" ht="16.2" thickBot="1" x14ac:dyDescent="0.35">
      <c r="B10" s="1539"/>
      <c r="C10" s="1540" t="s">
        <v>301</v>
      </c>
      <c r="D10" s="1835">
        <f>D5+D7+D8+D9</f>
        <v>19992576.092</v>
      </c>
      <c r="E10" s="1835">
        <f>E5+E7+E8+E9</f>
        <v>6040053.2000000002</v>
      </c>
      <c r="F10" s="1835">
        <f t="shared" ref="F10:G10" si="3">F5+F7+F8+F9</f>
        <v>6644058.5200000005</v>
      </c>
      <c r="G10" s="1835">
        <f t="shared" si="3"/>
        <v>7308464.3720000004</v>
      </c>
      <c r="H10" s="2">
        <f t="shared" si="2"/>
        <v>1827116.0930000001</v>
      </c>
    </row>
    <row r="11" spans="2:11" ht="16.2" thickBot="1" x14ac:dyDescent="0.35">
      <c r="B11" s="141" t="s">
        <v>2</v>
      </c>
      <c r="C11" s="142" t="s">
        <v>160</v>
      </c>
      <c r="D11" s="142"/>
      <c r="E11" s="1835">
        <v>0</v>
      </c>
      <c r="F11" s="721"/>
      <c r="G11" s="149"/>
      <c r="H11" s="1618">
        <f t="shared" si="2"/>
        <v>0</v>
      </c>
    </row>
    <row r="12" spans="2:11" ht="30.6" customHeight="1" thickBot="1" x14ac:dyDescent="0.35">
      <c r="B12" s="1612">
        <v>1</v>
      </c>
      <c r="C12" s="1614" t="s">
        <v>312</v>
      </c>
      <c r="D12" s="1838">
        <f>E12+F12+G12</f>
        <v>11078375.868500002</v>
      </c>
      <c r="E12" s="1835">
        <f>'15. Maintenance action plan'!J18</f>
        <v>3346941.35</v>
      </c>
      <c r="F12" s="717">
        <f>E12*1.1</f>
        <v>3681635.4850000003</v>
      </c>
      <c r="G12" s="717">
        <f>F12*1.1</f>
        <v>4049799.0335000008</v>
      </c>
      <c r="H12" s="4">
        <f t="shared" si="2"/>
        <v>1012449.7583750002</v>
      </c>
    </row>
    <row r="13" spans="2:11" ht="16.2" thickBot="1" x14ac:dyDescent="0.35">
      <c r="B13" s="1539"/>
      <c r="C13" s="1540" t="s">
        <v>302</v>
      </c>
      <c r="D13" s="1835">
        <f>D12</f>
        <v>11078375.868500002</v>
      </c>
      <c r="E13" s="1835">
        <f>E12</f>
        <v>3346941.35</v>
      </c>
      <c r="F13" s="1835">
        <f t="shared" ref="F13:G13" si="4">F12</f>
        <v>3681635.4850000003</v>
      </c>
      <c r="G13" s="1835">
        <f t="shared" si="4"/>
        <v>4049799.0335000008</v>
      </c>
      <c r="H13" s="1618">
        <f t="shared" si="2"/>
        <v>1012449.7583750002</v>
      </c>
    </row>
    <row r="14" spans="2:11" s="2" customFormat="1" ht="6.6" hidden="1" customHeight="1" x14ac:dyDescent="0.3">
      <c r="B14" s="143" t="s">
        <v>161</v>
      </c>
      <c r="C14" s="144" t="s">
        <v>164</v>
      </c>
      <c r="D14" s="144"/>
      <c r="E14" s="1835">
        <f>'15. Maintenance action plan'!_ftnref1</f>
        <v>3802502.65</v>
      </c>
      <c r="F14" s="723"/>
      <c r="G14" s="718"/>
      <c r="H14" s="2">
        <f t="shared" si="2"/>
        <v>0</v>
      </c>
    </row>
    <row r="15" spans="2:11" s="2" customFormat="1" ht="16.2" customHeight="1" thickBot="1" x14ac:dyDescent="0.35">
      <c r="B15" s="1832"/>
      <c r="C15" s="1833" t="s">
        <v>164</v>
      </c>
      <c r="D15" s="144"/>
      <c r="E15" s="1835">
        <v>0</v>
      </c>
      <c r="F15" s="723"/>
      <c r="G15" s="1834"/>
    </row>
    <row r="16" spans="2:11" ht="31.8" customHeight="1" thickBot="1" x14ac:dyDescent="0.35">
      <c r="B16" s="1612">
        <v>1</v>
      </c>
      <c r="C16" s="1614" t="s">
        <v>313</v>
      </c>
      <c r="D16" s="1838">
        <f>E16+F16+G16</f>
        <v>13357702.209800001</v>
      </c>
      <c r="E16" s="1835">
        <f>'15. Maintenance action plan'!J22</f>
        <v>4035559.58</v>
      </c>
      <c r="F16" s="717">
        <f>E16*1.1</f>
        <v>4439115.5380000006</v>
      </c>
      <c r="G16" s="717">
        <f>F16*1.1</f>
        <v>4883027.0918000014</v>
      </c>
      <c r="H16" s="4">
        <f t="shared" si="2"/>
        <v>1220756.7729500004</v>
      </c>
    </row>
    <row r="17" spans="1:9" ht="15" customHeight="1" thickBot="1" x14ac:dyDescent="0.35">
      <c r="B17" s="1612">
        <v>2</v>
      </c>
      <c r="C17" s="1616" t="s">
        <v>403</v>
      </c>
      <c r="D17" s="1838">
        <f t="shared" ref="D17:D18" si="5">E17+F17+G17</f>
        <v>1655000</v>
      </c>
      <c r="E17" s="1835">
        <f>'15. Maintenance action plan'!J24</f>
        <v>500000</v>
      </c>
      <c r="F17" s="717">
        <f t="shared" ref="F17:G18" si="6">E17*1.1</f>
        <v>550000</v>
      </c>
      <c r="G17" s="717">
        <f t="shared" si="6"/>
        <v>605000</v>
      </c>
      <c r="H17" s="4"/>
    </row>
    <row r="18" spans="1:9" ht="19.8" customHeight="1" thickBot="1" x14ac:dyDescent="0.35">
      <c r="B18" s="1612">
        <v>3</v>
      </c>
      <c r="C18" s="1616" t="s">
        <v>552</v>
      </c>
      <c r="D18" s="1838">
        <f t="shared" si="5"/>
        <v>993000</v>
      </c>
      <c r="E18" s="1835">
        <f>'15. Maintenance action plan'!J26</f>
        <v>300000</v>
      </c>
      <c r="F18" s="717">
        <f t="shared" si="6"/>
        <v>330000</v>
      </c>
      <c r="G18" s="717">
        <f t="shared" si="6"/>
        <v>363000.00000000006</v>
      </c>
      <c r="H18" s="4">
        <f t="shared" si="2"/>
        <v>90750.000000000015</v>
      </c>
    </row>
    <row r="19" spans="1:9" s="2" customFormat="1" ht="16.2" thickBot="1" x14ac:dyDescent="0.35">
      <c r="B19" s="1542"/>
      <c r="C19" s="1540" t="s">
        <v>324</v>
      </c>
      <c r="D19" s="1835">
        <f>D16+D17+D18</f>
        <v>16005702.209800001</v>
      </c>
      <c r="E19" s="1835">
        <f>E16+E17+E18</f>
        <v>4835559.58</v>
      </c>
      <c r="F19" s="1835">
        <f t="shared" ref="F19:G19" si="7">F16+F17+F18</f>
        <v>5319115.5380000006</v>
      </c>
      <c r="G19" s="1835">
        <f t="shared" si="7"/>
        <v>5851027.0918000014</v>
      </c>
      <c r="H19" s="2">
        <f t="shared" si="2"/>
        <v>1462756.7729500004</v>
      </c>
    </row>
    <row r="20" spans="1:9" s="2" customFormat="1" ht="15" customHeight="1" thickBot="1" x14ac:dyDescent="0.35">
      <c r="B20" s="145" t="s">
        <v>163</v>
      </c>
      <c r="C20" s="145" t="s">
        <v>303</v>
      </c>
      <c r="D20" s="145"/>
      <c r="E20" s="1835">
        <v>0</v>
      </c>
      <c r="F20" s="725"/>
      <c r="G20" s="719"/>
      <c r="H20" s="2">
        <f t="shared" si="2"/>
        <v>0</v>
      </c>
    </row>
    <row r="21" spans="1:9" ht="32.4" customHeight="1" thickBot="1" x14ac:dyDescent="0.35">
      <c r="B21" s="1612">
        <v>1</v>
      </c>
      <c r="C21" s="1614" t="s">
        <v>314</v>
      </c>
      <c r="D21" s="1838">
        <f>E21+F21+G21</f>
        <v>14771171.046400003</v>
      </c>
      <c r="E21" s="1835">
        <f>'15. Maintenance action plan'!J30</f>
        <v>4462589.4400000004</v>
      </c>
      <c r="F21" s="717">
        <f>E21*1.1</f>
        <v>4908848.3840000005</v>
      </c>
      <c r="G21" s="717">
        <f>F21*1.1</f>
        <v>5399733.2224000013</v>
      </c>
      <c r="H21" s="4">
        <f t="shared" si="2"/>
        <v>1349933.3056000003</v>
      </c>
    </row>
    <row r="22" spans="1:9" ht="31.8" customHeight="1" thickBot="1" x14ac:dyDescent="0.35">
      <c r="B22" s="1612">
        <v>2</v>
      </c>
      <c r="C22" s="1614" t="s">
        <v>553</v>
      </c>
      <c r="D22" s="1838">
        <f>E22+F22+G22</f>
        <v>4965000</v>
      </c>
      <c r="E22" s="1835">
        <f>'15. Maintenance action plan'!J32</f>
        <v>1500000</v>
      </c>
      <c r="F22" s="717">
        <f>E22*1.1</f>
        <v>1650000.0000000002</v>
      </c>
      <c r="G22" s="717">
        <f>F22*1.1</f>
        <v>1815000.0000000005</v>
      </c>
      <c r="H22" s="4">
        <f t="shared" si="2"/>
        <v>453750.00000000012</v>
      </c>
    </row>
    <row r="23" spans="1:9" s="2" customFormat="1" ht="16.2" thickBot="1" x14ac:dyDescent="0.35">
      <c r="B23" s="1610"/>
      <c r="C23" s="1544" t="s">
        <v>555</v>
      </c>
      <c r="D23" s="1837">
        <f>D21+D22</f>
        <v>19736171.046400003</v>
      </c>
      <c r="E23" s="1837">
        <f>E21+E22</f>
        <v>5962589.4400000004</v>
      </c>
      <c r="F23" s="1837">
        <f t="shared" ref="F23:G23" si="8">F21+F22</f>
        <v>6558848.3840000005</v>
      </c>
      <c r="G23" s="1837">
        <f t="shared" si="8"/>
        <v>7214733.2224000022</v>
      </c>
      <c r="H23" s="2">
        <f t="shared" si="2"/>
        <v>1803683.3056000005</v>
      </c>
    </row>
    <row r="24" spans="1:9" s="2" customFormat="1" ht="16.2" thickBot="1" x14ac:dyDescent="0.35">
      <c r="B24" s="1545"/>
      <c r="C24" s="1546" t="s">
        <v>304</v>
      </c>
      <c r="D24" s="1836">
        <f>D10+D13+D19+D23</f>
        <v>66812825.21670001</v>
      </c>
      <c r="E24" s="1836">
        <f>E10+E13+E19+E23</f>
        <v>20185143.57</v>
      </c>
      <c r="F24" s="1836">
        <f t="shared" ref="F24:G24" si="9">F10+F13+F19+F23</f>
        <v>22203657.927000001</v>
      </c>
      <c r="G24" s="1836">
        <f t="shared" si="9"/>
        <v>24424023.719700005</v>
      </c>
      <c r="H24" s="2">
        <f t="shared" si="2"/>
        <v>6106005.9299250012</v>
      </c>
      <c r="I24" s="2">
        <v>2252860</v>
      </c>
    </row>
    <row r="25" spans="1:9" s="2" customFormat="1" ht="15.6" x14ac:dyDescent="0.3">
      <c r="A25" s="1549"/>
      <c r="B25" s="1550"/>
      <c r="C25" s="1551"/>
      <c r="D25" s="1552"/>
      <c r="E25" s="1552"/>
      <c r="F25" s="727"/>
      <c r="G25" s="727">
        <v>20035143.57</v>
      </c>
    </row>
    <row r="26" spans="1:9" s="2" customFormat="1" ht="15.6" x14ac:dyDescent="0.3">
      <c r="A26" s="1549"/>
      <c r="B26" s="1553"/>
      <c r="C26" s="1553"/>
      <c r="D26" s="1553"/>
      <c r="E26" s="1553"/>
      <c r="F26" s="727"/>
      <c r="G26" s="1554">
        <f>G24-G25</f>
        <v>4388880.1497000046</v>
      </c>
      <c r="H26" s="2" t="e">
        <f>#REF!-H29</f>
        <v>#REF!</v>
      </c>
    </row>
    <row r="27" spans="1:9" ht="15.6" x14ac:dyDescent="0.3">
      <c r="G27" s="727"/>
      <c r="I27" s="1618">
        <f>G24-I24</f>
        <v>22171163.719700005</v>
      </c>
    </row>
    <row r="28" spans="1:9" ht="15.6" x14ac:dyDescent="0.3">
      <c r="G28" s="727">
        <v>161467518.53999999</v>
      </c>
      <c r="H28" s="1618">
        <f>G28*0.1</f>
        <v>16146751.854</v>
      </c>
    </row>
    <row r="29" spans="1:9" x14ac:dyDescent="0.3">
      <c r="H29" s="1618">
        <f>G24-H28</f>
        <v>8277271.8657000046</v>
      </c>
    </row>
    <row r="30" spans="1:9" x14ac:dyDescent="0.3">
      <c r="F30" s="166"/>
    </row>
    <row r="31" spans="1:9" x14ac:dyDescent="0.3">
      <c r="H31" s="2180"/>
    </row>
    <row r="32" spans="1:9" x14ac:dyDescent="0.3">
      <c r="H32" s="2181"/>
    </row>
    <row r="33" spans="5:8" x14ac:dyDescent="0.3">
      <c r="H33" s="2181"/>
    </row>
    <row r="34" spans="5:8" x14ac:dyDescent="0.3">
      <c r="E34" s="1618" t="s">
        <v>616</v>
      </c>
    </row>
    <row r="35" spans="5:8" x14ac:dyDescent="0.3">
      <c r="E35" s="1618" t="s">
        <v>618</v>
      </c>
    </row>
    <row r="36" spans="5:8" x14ac:dyDescent="0.3">
      <c r="E36" s="1618" t="s">
        <v>619</v>
      </c>
    </row>
    <row r="37" spans="5:8" x14ac:dyDescent="0.3">
      <c r="E37" s="1618" t="s">
        <v>164</v>
      </c>
    </row>
    <row r="38" spans="5:8" x14ac:dyDescent="0.3">
      <c r="E38" s="1618" t="s">
        <v>621</v>
      </c>
      <c r="G38" s="1618"/>
    </row>
    <row r="39" spans="5:8" x14ac:dyDescent="0.3">
      <c r="E39" s="1618" t="s">
        <v>624</v>
      </c>
      <c r="G39" s="1618"/>
    </row>
    <row r="40" spans="5:8" x14ac:dyDescent="0.3">
      <c r="G40" s="1618"/>
    </row>
    <row r="46" spans="5:8" x14ac:dyDescent="0.3">
      <c r="G46" s="1618">
        <v>82549768</v>
      </c>
      <c r="H46" s="1618">
        <f>G46*0.3</f>
        <v>24764930.399999999</v>
      </c>
    </row>
  </sheetData>
  <mergeCells count="1">
    <mergeCell ref="H31:H33"/>
  </mergeCells>
  <pageMargins left="0.7" right="0.7" top="0.75" bottom="0.75" header="0.3" footer="0.3"/>
  <pageSetup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zoomScale="80" zoomScaleNormal="80" workbookViewId="0">
      <pane xSplit="12" ySplit="2" topLeftCell="M3" activePane="bottomRight" state="frozen"/>
      <selection pane="topRight" activeCell="M1" sqref="M1"/>
      <selection pane="bottomLeft" activeCell="A3" sqref="A3"/>
      <selection pane="bottomRight" activeCell="P7" sqref="P7"/>
    </sheetView>
  </sheetViews>
  <sheetFormatPr defaultColWidth="9.109375" defaultRowHeight="14.4" x14ac:dyDescent="0.3"/>
  <cols>
    <col min="1" max="1" width="9.109375" style="66"/>
    <col min="2" max="2" width="5.44140625" style="66" customWidth="1"/>
    <col min="3" max="3" width="30.109375" style="66" customWidth="1"/>
    <col min="4" max="4" width="9.44140625" style="66" customWidth="1"/>
    <col min="5" max="5" width="6.33203125" style="66" customWidth="1"/>
    <col min="6" max="6" width="14.33203125" style="66" bestFit="1" customWidth="1"/>
    <col min="7" max="7" width="17.33203125" style="66" customWidth="1"/>
    <col min="8" max="8" width="16.6640625" style="66" customWidth="1"/>
    <col min="9" max="9" width="15.5546875" style="66" customWidth="1"/>
    <col min="10" max="10" width="20.5546875" style="166" customWidth="1"/>
    <col min="11" max="11" width="12" style="66" bestFit="1" customWidth="1"/>
    <col min="12" max="12" width="32.6640625" style="66" bestFit="1" customWidth="1"/>
    <col min="13" max="16384" width="9.109375" style="66"/>
  </cols>
  <sheetData>
    <row r="1" spans="2:14" ht="47.4" customHeight="1" thickBot="1" x14ac:dyDescent="0.35">
      <c r="B1" s="2190" t="s">
        <v>0</v>
      </c>
      <c r="C1" s="2190" t="s">
        <v>305</v>
      </c>
      <c r="D1" s="2190" t="s">
        <v>306</v>
      </c>
      <c r="E1" s="2190" t="s">
        <v>5</v>
      </c>
      <c r="F1" s="2193" t="s">
        <v>307</v>
      </c>
      <c r="G1" s="2194"/>
      <c r="H1" s="2194"/>
      <c r="I1" s="2195"/>
      <c r="J1" s="2182" t="s">
        <v>985</v>
      </c>
    </row>
    <row r="2" spans="2:14" ht="16.2" thickBot="1" x14ac:dyDescent="0.35">
      <c r="B2" s="2191"/>
      <c r="C2" s="2191"/>
      <c r="D2" s="2191"/>
      <c r="E2" s="2191"/>
      <c r="F2" s="146" t="s">
        <v>18</v>
      </c>
      <c r="G2" s="146" t="s">
        <v>19</v>
      </c>
      <c r="H2" s="146" t="s">
        <v>20</v>
      </c>
      <c r="I2" s="146" t="s">
        <v>21</v>
      </c>
      <c r="J2" s="2183"/>
    </row>
    <row r="3" spans="2:14" ht="16.2" thickBot="1" x14ac:dyDescent="0.35">
      <c r="B3" s="134" t="s">
        <v>1</v>
      </c>
      <c r="C3" s="135" t="s">
        <v>159</v>
      </c>
      <c r="D3" s="135"/>
      <c r="E3" s="135"/>
      <c r="F3" s="136"/>
      <c r="G3" s="136"/>
      <c r="H3" s="136"/>
      <c r="I3" s="136"/>
      <c r="J3" s="713" t="s">
        <v>615</v>
      </c>
      <c r="L3" s="66">
        <f>7847.16/5</f>
        <v>1569.432</v>
      </c>
    </row>
    <row r="4" spans="2:14" ht="16.2" thickBot="1" x14ac:dyDescent="0.35">
      <c r="B4" s="137">
        <v>1</v>
      </c>
      <c r="C4" s="138" t="s">
        <v>173</v>
      </c>
      <c r="D4" s="138"/>
      <c r="E4" s="138"/>
      <c r="F4" s="712"/>
      <c r="G4" s="712"/>
      <c r="H4" s="712"/>
      <c r="I4" s="712"/>
      <c r="J4" s="714" t="s">
        <v>615</v>
      </c>
    </row>
    <row r="5" spans="2:14" ht="29.4" customHeight="1" thickBot="1" x14ac:dyDescent="0.35">
      <c r="B5" s="137">
        <v>1.2</v>
      </c>
      <c r="C5" s="140" t="s">
        <v>299</v>
      </c>
      <c r="D5" s="147"/>
      <c r="E5" s="147"/>
      <c r="F5" s="712"/>
      <c r="G5" s="712"/>
      <c r="H5" s="711" t="s">
        <v>138</v>
      </c>
      <c r="I5" s="711" t="s">
        <v>138</v>
      </c>
      <c r="J5" s="715" t="s">
        <v>615</v>
      </c>
      <c r="K5" s="4"/>
      <c r="L5" s="66" t="s">
        <v>616</v>
      </c>
      <c r="M5" s="66" t="s">
        <v>617</v>
      </c>
      <c r="N5" s="66" t="s">
        <v>354</v>
      </c>
    </row>
    <row r="6" spans="2:14" ht="16.2" customHeight="1" thickBot="1" x14ac:dyDescent="0.35">
      <c r="B6" s="2184" t="s">
        <v>178</v>
      </c>
      <c r="C6" s="2186" t="s">
        <v>960</v>
      </c>
      <c r="D6" s="147" t="s">
        <v>308</v>
      </c>
      <c r="E6" s="147" t="s">
        <v>10</v>
      </c>
      <c r="F6" s="716">
        <f>I6</f>
        <v>1461.79</v>
      </c>
      <c r="G6" s="716">
        <f>I6</f>
        <v>1461.79</v>
      </c>
      <c r="H6" s="716">
        <f>I6</f>
        <v>1461.79</v>
      </c>
      <c r="I6" s="716">
        <f>J6/4</f>
        <v>1461.79</v>
      </c>
      <c r="J6" s="716">
        <v>5847.16</v>
      </c>
      <c r="K6" s="4">
        <f>J6/4</f>
        <v>1461.79</v>
      </c>
      <c r="L6" s="66" t="s">
        <v>618</v>
      </c>
      <c r="M6" s="66">
        <v>7500000</v>
      </c>
      <c r="N6" s="66">
        <f>M6/17001207.13</f>
        <v>0.44114514590941289</v>
      </c>
    </row>
    <row r="7" spans="2:14" ht="26.4" customHeight="1" thickBot="1" x14ac:dyDescent="0.35">
      <c r="B7" s="2185"/>
      <c r="C7" s="2187"/>
      <c r="D7" s="147" t="s">
        <v>309</v>
      </c>
      <c r="E7" s="147" t="s">
        <v>23</v>
      </c>
      <c r="F7" s="716">
        <f t="shared" ref="F7:F14" si="0">I7</f>
        <v>125000</v>
      </c>
      <c r="G7" s="716">
        <f t="shared" ref="G7:G14" si="1">I7</f>
        <v>125000</v>
      </c>
      <c r="H7" s="716">
        <f t="shared" ref="H7:H14" si="2">I7</f>
        <v>125000</v>
      </c>
      <c r="I7" s="716">
        <f t="shared" ref="I7:I14" si="3">J7/4</f>
        <v>125000</v>
      </c>
      <c r="J7" s="717">
        <v>500000</v>
      </c>
      <c r="K7" s="4">
        <f t="shared" ref="K7:K34" si="4">J7/4</f>
        <v>125000</v>
      </c>
      <c r="L7" s="66" t="s">
        <v>619</v>
      </c>
      <c r="M7" s="66">
        <v>1000000</v>
      </c>
      <c r="N7" s="66">
        <f>M7/17001207.13</f>
        <v>5.8819352787921719E-2</v>
      </c>
    </row>
    <row r="8" spans="2:14" ht="18" customHeight="1" thickBot="1" x14ac:dyDescent="0.35">
      <c r="B8" s="137">
        <v>1.3</v>
      </c>
      <c r="C8" s="148" t="s">
        <v>300</v>
      </c>
      <c r="D8" s="147"/>
      <c r="E8" s="147"/>
      <c r="F8" s="716"/>
      <c r="G8" s="716"/>
      <c r="H8" s="716"/>
      <c r="I8" s="716"/>
      <c r="J8" s="714" t="s">
        <v>620</v>
      </c>
      <c r="K8" s="4" t="e">
        <f t="shared" si="4"/>
        <v>#VALUE!</v>
      </c>
      <c r="L8" s="66" t="s">
        <v>164</v>
      </c>
      <c r="M8" s="66">
        <v>5500000</v>
      </c>
      <c r="N8" s="66">
        <f>M8/17001207.13</f>
        <v>0.32350644033356946</v>
      </c>
    </row>
    <row r="9" spans="2:14" ht="20.399999999999999" customHeight="1" thickBot="1" x14ac:dyDescent="0.35">
      <c r="B9" s="2184" t="s">
        <v>181</v>
      </c>
      <c r="C9" s="2188" t="s">
        <v>310</v>
      </c>
      <c r="D9" s="147" t="s">
        <v>308</v>
      </c>
      <c r="E9" s="147" t="s">
        <v>11</v>
      </c>
      <c r="F9" s="716">
        <f t="shared" si="0"/>
        <v>2</v>
      </c>
      <c r="G9" s="716">
        <f t="shared" si="1"/>
        <v>2</v>
      </c>
      <c r="H9" s="716">
        <f t="shared" si="2"/>
        <v>2</v>
      </c>
      <c r="I9" s="716">
        <f t="shared" si="3"/>
        <v>2</v>
      </c>
      <c r="J9" s="717">
        <v>8</v>
      </c>
      <c r="K9" s="4">
        <f t="shared" si="4"/>
        <v>2</v>
      </c>
      <c r="L9" s="66" t="s">
        <v>621</v>
      </c>
      <c r="M9" s="66">
        <v>3001207.129999999</v>
      </c>
      <c r="N9" s="66">
        <f>M9/17001207.13</f>
        <v>0.17652906096909596</v>
      </c>
    </row>
    <row r="10" spans="2:14" ht="16.2" thickBot="1" x14ac:dyDescent="0.35">
      <c r="B10" s="2185"/>
      <c r="C10" s="2189"/>
      <c r="D10" s="147" t="s">
        <v>309</v>
      </c>
      <c r="E10" s="147" t="s">
        <v>23</v>
      </c>
      <c r="F10" s="716">
        <f t="shared" si="0"/>
        <v>950625.66249999998</v>
      </c>
      <c r="G10" s="716">
        <f t="shared" si="1"/>
        <v>950625.66249999998</v>
      </c>
      <c r="H10" s="716">
        <f t="shared" si="2"/>
        <v>950625.66249999998</v>
      </c>
      <c r="I10" s="716">
        <f t="shared" si="3"/>
        <v>950625.66249999998</v>
      </c>
      <c r="J10" s="717">
        <v>3802502.65</v>
      </c>
      <c r="K10" s="4">
        <f t="shared" si="4"/>
        <v>950625.66249999998</v>
      </c>
      <c r="L10" s="66" t="s">
        <v>622</v>
      </c>
      <c r="M10" s="66">
        <f>SUM(M6:M9)</f>
        <v>17001207.129999999</v>
      </c>
      <c r="N10" s="66">
        <v>1</v>
      </c>
    </row>
    <row r="11" spans="2:14" s="1618" customFormat="1" ht="16.2" thickBot="1" x14ac:dyDescent="0.35">
      <c r="B11" s="2184">
        <v>1.4</v>
      </c>
      <c r="C11" s="2186" t="s">
        <v>554</v>
      </c>
      <c r="D11" s="147" t="s">
        <v>308</v>
      </c>
      <c r="E11" s="147" t="s">
        <v>11</v>
      </c>
      <c r="F11" s="716">
        <f t="shared" ref="F11:F12" si="5">I11</f>
        <v>0.625</v>
      </c>
      <c r="G11" s="716">
        <f t="shared" ref="G11:G12" si="6">I11</f>
        <v>0.625</v>
      </c>
      <c r="H11" s="716">
        <f t="shared" ref="H11:H12" si="7">I11</f>
        <v>0.625</v>
      </c>
      <c r="I11" s="716">
        <f t="shared" ref="I11:I12" si="8">J11/4</f>
        <v>0.625</v>
      </c>
      <c r="J11" s="717">
        <v>2.5</v>
      </c>
      <c r="K11" s="4"/>
    </row>
    <row r="12" spans="2:14" s="1618" customFormat="1" ht="16.2" thickBot="1" x14ac:dyDescent="0.35">
      <c r="B12" s="2185"/>
      <c r="C12" s="2187"/>
      <c r="D12" s="147" t="s">
        <v>309</v>
      </c>
      <c r="E12" s="147" t="s">
        <v>23</v>
      </c>
      <c r="F12" s="716">
        <f t="shared" si="5"/>
        <v>125000</v>
      </c>
      <c r="G12" s="716">
        <f t="shared" si="6"/>
        <v>125000</v>
      </c>
      <c r="H12" s="716">
        <f t="shared" si="7"/>
        <v>125000</v>
      </c>
      <c r="I12" s="716">
        <f t="shared" si="8"/>
        <v>125000</v>
      </c>
      <c r="J12" s="717">
        <v>500000</v>
      </c>
      <c r="K12" s="4"/>
    </row>
    <row r="13" spans="2:14" ht="16.2" thickBot="1" x14ac:dyDescent="0.35">
      <c r="B13" s="2184">
        <v>1.5</v>
      </c>
      <c r="C13" s="2188" t="s">
        <v>311</v>
      </c>
      <c r="D13" s="147" t="s">
        <v>308</v>
      </c>
      <c r="E13" s="147" t="s">
        <v>3</v>
      </c>
      <c r="F13" s="716">
        <v>0</v>
      </c>
      <c r="G13" s="716">
        <v>3</v>
      </c>
      <c r="H13" s="716">
        <f t="shared" si="2"/>
        <v>0</v>
      </c>
      <c r="I13" s="716">
        <v>0</v>
      </c>
      <c r="J13" s="714">
        <v>3</v>
      </c>
      <c r="K13" s="4">
        <f t="shared" si="4"/>
        <v>0.75</v>
      </c>
    </row>
    <row r="14" spans="2:14" ht="25.2" customHeight="1" thickBot="1" x14ac:dyDescent="0.35">
      <c r="B14" s="2192"/>
      <c r="C14" s="2189"/>
      <c r="D14" s="147" t="s">
        <v>309</v>
      </c>
      <c r="E14" s="147" t="s">
        <v>23</v>
      </c>
      <c r="F14" s="716">
        <f t="shared" si="0"/>
        <v>309387.63750000001</v>
      </c>
      <c r="G14" s="716">
        <f t="shared" si="1"/>
        <v>309387.63750000001</v>
      </c>
      <c r="H14" s="716">
        <f t="shared" si="2"/>
        <v>309387.63750000001</v>
      </c>
      <c r="I14" s="716">
        <f t="shared" si="3"/>
        <v>309387.63750000001</v>
      </c>
      <c r="J14" s="717">
        <v>1237550.55</v>
      </c>
      <c r="K14" s="4">
        <f t="shared" si="4"/>
        <v>309387.63750000001</v>
      </c>
    </row>
    <row r="15" spans="2:14" s="2" customFormat="1" ht="16.2" thickBot="1" x14ac:dyDescent="0.35">
      <c r="B15" s="1539"/>
      <c r="C15" s="1540" t="s">
        <v>301</v>
      </c>
      <c r="D15" s="1540"/>
      <c r="E15" s="1540"/>
      <c r="F15" s="1541">
        <f t="shared" ref="F15:I15" si="9">F7+F10+F14+F12</f>
        <v>1510013.3</v>
      </c>
      <c r="G15" s="1541">
        <f t="shared" si="9"/>
        <v>1510013.3</v>
      </c>
      <c r="H15" s="1541">
        <f t="shared" si="9"/>
        <v>1510013.3</v>
      </c>
      <c r="I15" s="1541">
        <f t="shared" si="9"/>
        <v>1510013.3</v>
      </c>
      <c r="J15" s="1541">
        <f>J7+J10+J14+J12</f>
        <v>6040053.2000000002</v>
      </c>
      <c r="K15" s="2">
        <f t="shared" si="4"/>
        <v>1510013.3</v>
      </c>
    </row>
    <row r="16" spans="2:14" ht="16.2" thickBot="1" x14ac:dyDescent="0.35">
      <c r="B16" s="141" t="s">
        <v>2</v>
      </c>
      <c r="C16" s="142" t="s">
        <v>160</v>
      </c>
      <c r="D16" s="142"/>
      <c r="E16" s="142"/>
      <c r="F16" s="721" t="s">
        <v>615</v>
      </c>
      <c r="G16" s="721" t="s">
        <v>615</v>
      </c>
      <c r="H16" s="722" t="s">
        <v>615</v>
      </c>
      <c r="I16" s="722" t="s">
        <v>615</v>
      </c>
      <c r="J16" s="149" t="s">
        <v>615</v>
      </c>
      <c r="K16" s="66" t="e">
        <f t="shared" si="4"/>
        <v>#VALUE!</v>
      </c>
    </row>
    <row r="17" spans="2:12" ht="16.2" customHeight="1" thickBot="1" x14ac:dyDescent="0.35">
      <c r="B17" s="2184">
        <v>1</v>
      </c>
      <c r="C17" s="2186" t="s">
        <v>312</v>
      </c>
      <c r="D17" s="147" t="s">
        <v>308</v>
      </c>
      <c r="E17" s="147" t="s">
        <v>239</v>
      </c>
      <c r="F17" s="717">
        <f>I17</f>
        <v>625.25</v>
      </c>
      <c r="G17" s="717">
        <f>I17</f>
        <v>625.25</v>
      </c>
      <c r="H17" s="716">
        <f>I17</f>
        <v>625.25</v>
      </c>
      <c r="I17" s="716">
        <f>J17/4</f>
        <v>625.25</v>
      </c>
      <c r="J17" s="717">
        <v>2501</v>
      </c>
      <c r="K17" s="4">
        <f t="shared" si="4"/>
        <v>625.25</v>
      </c>
      <c r="L17" s="66">
        <v>201800326.83000001</v>
      </c>
    </row>
    <row r="18" spans="2:12" ht="16.2" thickBot="1" x14ac:dyDescent="0.35">
      <c r="B18" s="2185"/>
      <c r="C18" s="2187"/>
      <c r="D18" s="147" t="s">
        <v>309</v>
      </c>
      <c r="E18" s="147" t="s">
        <v>23</v>
      </c>
      <c r="F18" s="717">
        <f>I18</f>
        <v>836735.33750000002</v>
      </c>
      <c r="G18" s="717">
        <f>I18</f>
        <v>836735.33750000002</v>
      </c>
      <c r="H18" s="716">
        <f>I18</f>
        <v>836735.33750000002</v>
      </c>
      <c r="I18" s="716">
        <f>J18/4</f>
        <v>836735.33750000002</v>
      </c>
      <c r="J18" s="717">
        <f>3196941.35+150000</f>
        <v>3346941.35</v>
      </c>
      <c r="K18" s="4">
        <f t="shared" si="4"/>
        <v>836735.33750000002</v>
      </c>
      <c r="L18" s="166">
        <f>L17/10</f>
        <v>20180032.683000002</v>
      </c>
    </row>
    <row r="19" spans="2:12" ht="16.2" thickBot="1" x14ac:dyDescent="0.35">
      <c r="B19" s="1539"/>
      <c r="C19" s="1540" t="s">
        <v>302</v>
      </c>
      <c r="D19" s="1540"/>
      <c r="E19" s="1540"/>
      <c r="F19" s="1541">
        <f t="shared" ref="F19:I19" si="10">F18</f>
        <v>836735.33750000002</v>
      </c>
      <c r="G19" s="1541">
        <f t="shared" si="10"/>
        <v>836735.33750000002</v>
      </c>
      <c r="H19" s="1541">
        <f t="shared" si="10"/>
        <v>836735.33750000002</v>
      </c>
      <c r="I19" s="1541">
        <f t="shared" si="10"/>
        <v>836735.33750000002</v>
      </c>
      <c r="J19" s="1541">
        <f>J18</f>
        <v>3346941.35</v>
      </c>
      <c r="K19" s="66">
        <f t="shared" si="4"/>
        <v>836735.33750000002</v>
      </c>
      <c r="L19" s="66">
        <v>20035143.57</v>
      </c>
    </row>
    <row r="20" spans="2:12" s="2" customFormat="1" ht="16.2" thickBot="1" x14ac:dyDescent="0.35">
      <c r="B20" s="143" t="s">
        <v>161</v>
      </c>
      <c r="C20" s="144" t="s">
        <v>164</v>
      </c>
      <c r="D20" s="144"/>
      <c r="E20" s="144"/>
      <c r="F20" s="723" t="s">
        <v>615</v>
      </c>
      <c r="G20" s="723" t="s">
        <v>615</v>
      </c>
      <c r="H20" s="724" t="s">
        <v>615</v>
      </c>
      <c r="I20" s="724" t="s">
        <v>615</v>
      </c>
      <c r="J20" s="718" t="s">
        <v>615</v>
      </c>
      <c r="K20" s="2" t="e">
        <f t="shared" si="4"/>
        <v>#VALUE!</v>
      </c>
      <c r="L20" s="1862">
        <f>L18-L19</f>
        <v>144889.11300000176</v>
      </c>
    </row>
    <row r="21" spans="2:12" ht="16.2" customHeight="1" thickBot="1" x14ac:dyDescent="0.35">
      <c r="B21" s="2184">
        <v>1</v>
      </c>
      <c r="C21" s="2186" t="s">
        <v>313</v>
      </c>
      <c r="D21" s="147" t="s">
        <v>308</v>
      </c>
      <c r="E21" s="147" t="s">
        <v>97</v>
      </c>
      <c r="F21" s="717">
        <f>I21</f>
        <v>137.5</v>
      </c>
      <c r="G21" s="717">
        <f>I21</f>
        <v>137.5</v>
      </c>
      <c r="H21" s="716">
        <f>I21</f>
        <v>137.5</v>
      </c>
      <c r="I21" s="716">
        <f>J21/4</f>
        <v>137.5</v>
      </c>
      <c r="J21" s="717">
        <v>550</v>
      </c>
      <c r="K21" s="4">
        <f t="shared" si="4"/>
        <v>137.5</v>
      </c>
    </row>
    <row r="22" spans="2:12" ht="16.2" thickBot="1" x14ac:dyDescent="0.35">
      <c r="B22" s="2185"/>
      <c r="C22" s="2187"/>
      <c r="D22" s="147" t="s">
        <v>309</v>
      </c>
      <c r="E22" s="147" t="s">
        <v>23</v>
      </c>
      <c r="F22" s="717">
        <f t="shared" ref="F22:F26" si="11">I22</f>
        <v>1008889.895</v>
      </c>
      <c r="G22" s="717">
        <f t="shared" ref="G22:G26" si="12">I22</f>
        <v>1008889.895</v>
      </c>
      <c r="H22" s="716">
        <f t="shared" ref="H22:H26" si="13">I22</f>
        <v>1008889.895</v>
      </c>
      <c r="I22" s="716">
        <f t="shared" ref="I22:I26" si="14">J22/4</f>
        <v>1008889.895</v>
      </c>
      <c r="J22" s="717">
        <v>4035559.58</v>
      </c>
      <c r="K22" s="4">
        <f t="shared" si="4"/>
        <v>1008889.895</v>
      </c>
    </row>
    <row r="23" spans="2:12" s="1618" customFormat="1" ht="16.2" thickBot="1" x14ac:dyDescent="0.35">
      <c r="B23" s="2184">
        <v>2</v>
      </c>
      <c r="C23" s="2196" t="s">
        <v>403</v>
      </c>
      <c r="D23" s="147" t="s">
        <v>308</v>
      </c>
      <c r="E23" s="147" t="s">
        <v>27</v>
      </c>
      <c r="F23" s="717">
        <f>I23</f>
        <v>0</v>
      </c>
      <c r="G23" s="717">
        <f>I23</f>
        <v>0</v>
      </c>
      <c r="H23" s="716">
        <v>1</v>
      </c>
      <c r="I23" s="716">
        <v>0</v>
      </c>
      <c r="J23" s="717">
        <v>1</v>
      </c>
      <c r="K23" s="4"/>
    </row>
    <row r="24" spans="2:12" s="1618" customFormat="1" ht="16.2" thickBot="1" x14ac:dyDescent="0.35">
      <c r="B24" s="2185"/>
      <c r="C24" s="2197"/>
      <c r="D24" s="147" t="s">
        <v>309</v>
      </c>
      <c r="E24" s="147" t="s">
        <v>23</v>
      </c>
      <c r="F24" s="717">
        <f t="shared" ref="F24" si="15">I24</f>
        <v>125000</v>
      </c>
      <c r="G24" s="717">
        <f t="shared" ref="G24" si="16">I24</f>
        <v>125000</v>
      </c>
      <c r="H24" s="716">
        <f t="shared" ref="H24" si="17">I24</f>
        <v>125000</v>
      </c>
      <c r="I24" s="716">
        <f t="shared" ref="I24" si="18">J24/4</f>
        <v>125000</v>
      </c>
      <c r="J24" s="717">
        <v>500000</v>
      </c>
      <c r="K24" s="4"/>
    </row>
    <row r="25" spans="2:12" ht="20.25" customHeight="1" thickBot="1" x14ac:dyDescent="0.35">
      <c r="B25" s="2184">
        <v>3</v>
      </c>
      <c r="C25" s="2196" t="s">
        <v>552</v>
      </c>
      <c r="D25" s="147" t="s">
        <v>308</v>
      </c>
      <c r="E25" s="147" t="s">
        <v>97</v>
      </c>
      <c r="F25" s="717">
        <f t="shared" si="11"/>
        <v>25</v>
      </c>
      <c r="G25" s="717">
        <f t="shared" si="12"/>
        <v>25</v>
      </c>
      <c r="H25" s="716">
        <f t="shared" si="13"/>
        <v>25</v>
      </c>
      <c r="I25" s="716">
        <f t="shared" si="14"/>
        <v>25</v>
      </c>
      <c r="J25" s="717">
        <v>100</v>
      </c>
      <c r="K25" s="4">
        <f t="shared" si="4"/>
        <v>25</v>
      </c>
    </row>
    <row r="26" spans="2:12" s="2" customFormat="1" ht="16.2" thickBot="1" x14ac:dyDescent="0.35">
      <c r="B26" s="2185"/>
      <c r="C26" s="2197"/>
      <c r="D26" s="147" t="s">
        <v>309</v>
      </c>
      <c r="E26" s="147" t="s">
        <v>23</v>
      </c>
      <c r="F26" s="717">
        <f t="shared" si="11"/>
        <v>75000</v>
      </c>
      <c r="G26" s="717">
        <f t="shared" si="12"/>
        <v>75000</v>
      </c>
      <c r="H26" s="716">
        <f t="shared" si="13"/>
        <v>75000</v>
      </c>
      <c r="I26" s="716">
        <f t="shared" si="14"/>
        <v>75000</v>
      </c>
      <c r="J26" s="717">
        <v>300000</v>
      </c>
      <c r="K26" s="2">
        <f t="shared" si="4"/>
        <v>75000</v>
      </c>
    </row>
    <row r="27" spans="2:12" s="2" customFormat="1" ht="16.2" thickBot="1" x14ac:dyDescent="0.35">
      <c r="B27" s="1542"/>
      <c r="C27" s="1540" t="s">
        <v>324</v>
      </c>
      <c r="D27" s="1543"/>
      <c r="E27" s="1543"/>
      <c r="F27" s="720">
        <f t="shared" ref="F27:I27" si="19">F22+F26+F24</f>
        <v>1208889.895</v>
      </c>
      <c r="G27" s="720">
        <f t="shared" si="19"/>
        <v>1208889.895</v>
      </c>
      <c r="H27" s="720">
        <f t="shared" si="19"/>
        <v>1208889.895</v>
      </c>
      <c r="I27" s="720">
        <f t="shared" si="19"/>
        <v>1208889.895</v>
      </c>
      <c r="J27" s="720">
        <f>J22+J26+J24</f>
        <v>4835559.58</v>
      </c>
      <c r="K27" s="2">
        <f t="shared" si="4"/>
        <v>1208889.895</v>
      </c>
    </row>
    <row r="28" spans="2:12" s="2" customFormat="1" ht="16.2" thickBot="1" x14ac:dyDescent="0.35">
      <c r="B28" s="145" t="s">
        <v>163</v>
      </c>
      <c r="C28" s="145" t="s">
        <v>303</v>
      </c>
      <c r="D28" s="145"/>
      <c r="E28" s="145"/>
      <c r="F28" s="725" t="s">
        <v>615</v>
      </c>
      <c r="G28" s="725" t="s">
        <v>615</v>
      </c>
      <c r="H28" s="726" t="s">
        <v>615</v>
      </c>
      <c r="I28" s="726" t="s">
        <v>615</v>
      </c>
      <c r="J28" s="719" t="s">
        <v>615</v>
      </c>
      <c r="K28" s="2" t="e">
        <f t="shared" si="4"/>
        <v>#VALUE!</v>
      </c>
    </row>
    <row r="29" spans="2:12" ht="16.2" customHeight="1" thickBot="1" x14ac:dyDescent="0.35">
      <c r="B29" s="2184">
        <v>1</v>
      </c>
      <c r="C29" s="2186" t="s">
        <v>314</v>
      </c>
      <c r="D29" s="147" t="s">
        <v>308</v>
      </c>
      <c r="E29" s="147" t="s">
        <v>239</v>
      </c>
      <c r="F29" s="717">
        <f>I29</f>
        <v>105</v>
      </c>
      <c r="G29" s="717">
        <f>I29</f>
        <v>105</v>
      </c>
      <c r="H29" s="716">
        <f>I29</f>
        <v>105</v>
      </c>
      <c r="I29" s="716">
        <f>J29/4</f>
        <v>105</v>
      </c>
      <c r="J29" s="717">
        <v>420</v>
      </c>
      <c r="K29" s="4">
        <f t="shared" si="4"/>
        <v>105</v>
      </c>
    </row>
    <row r="30" spans="2:12" ht="16.2" thickBot="1" x14ac:dyDescent="0.35">
      <c r="B30" s="2185"/>
      <c r="C30" s="2187"/>
      <c r="D30" s="147" t="s">
        <v>309</v>
      </c>
      <c r="E30" s="147" t="s">
        <v>23</v>
      </c>
      <c r="F30" s="717">
        <f t="shared" ref="F30:F32" si="20">I30</f>
        <v>1115647.3600000001</v>
      </c>
      <c r="G30" s="717">
        <f t="shared" ref="G30:G32" si="21">I30</f>
        <v>1115647.3600000001</v>
      </c>
      <c r="H30" s="716">
        <f t="shared" ref="H30:H32" si="22">I30</f>
        <v>1115647.3600000001</v>
      </c>
      <c r="I30" s="716">
        <f t="shared" ref="I30:I32" si="23">J30/4</f>
        <v>1115647.3600000001</v>
      </c>
      <c r="J30" s="717">
        <v>4462589.4400000004</v>
      </c>
      <c r="K30" s="4">
        <f t="shared" si="4"/>
        <v>1115647.3600000001</v>
      </c>
    </row>
    <row r="31" spans="2:12" ht="15" customHeight="1" thickBot="1" x14ac:dyDescent="0.35">
      <c r="B31" s="2184">
        <v>2</v>
      </c>
      <c r="C31" s="2186" t="s">
        <v>553</v>
      </c>
      <c r="D31" s="147" t="s">
        <v>308</v>
      </c>
      <c r="E31" s="147" t="s">
        <v>3</v>
      </c>
      <c r="F31" s="717">
        <f t="shared" si="20"/>
        <v>3</v>
      </c>
      <c r="G31" s="717">
        <f t="shared" si="21"/>
        <v>3</v>
      </c>
      <c r="H31" s="716">
        <f t="shared" si="22"/>
        <v>3</v>
      </c>
      <c r="I31" s="716">
        <f t="shared" si="23"/>
        <v>3</v>
      </c>
      <c r="J31" s="717">
        <v>12</v>
      </c>
      <c r="K31" s="4">
        <f t="shared" si="4"/>
        <v>3</v>
      </c>
    </row>
    <row r="32" spans="2:12" s="2" customFormat="1" ht="16.2" thickBot="1" x14ac:dyDescent="0.35">
      <c r="B32" s="2198"/>
      <c r="C32" s="2199"/>
      <c r="D32" s="147" t="s">
        <v>309</v>
      </c>
      <c r="E32" s="147" t="s">
        <v>23</v>
      </c>
      <c r="F32" s="717">
        <f t="shared" si="20"/>
        <v>375000</v>
      </c>
      <c r="G32" s="717">
        <f t="shared" si="21"/>
        <v>375000</v>
      </c>
      <c r="H32" s="716">
        <f t="shared" si="22"/>
        <v>375000</v>
      </c>
      <c r="I32" s="716">
        <f t="shared" si="23"/>
        <v>375000</v>
      </c>
      <c r="J32" s="717">
        <v>1500000</v>
      </c>
      <c r="K32" s="2">
        <f t="shared" si="4"/>
        <v>375000</v>
      </c>
    </row>
    <row r="33" spans="1:12" s="2" customFormat="1" ht="16.2" customHeight="1" thickBot="1" x14ac:dyDescent="0.35">
      <c r="B33" s="1610"/>
      <c r="C33" s="1544" t="s">
        <v>555</v>
      </c>
      <c r="D33" s="1543"/>
      <c r="E33" s="1543"/>
      <c r="F33" s="720">
        <f t="shared" ref="F33:I33" si="24">F30+F32</f>
        <v>1490647.36</v>
      </c>
      <c r="G33" s="720">
        <f t="shared" si="24"/>
        <v>1490647.36</v>
      </c>
      <c r="H33" s="720">
        <f t="shared" si="24"/>
        <v>1490647.36</v>
      </c>
      <c r="I33" s="720">
        <f t="shared" si="24"/>
        <v>1490647.36</v>
      </c>
      <c r="J33" s="720">
        <f>J30+J32</f>
        <v>5962589.4400000004</v>
      </c>
      <c r="K33" s="2">
        <f t="shared" si="4"/>
        <v>1490647.36</v>
      </c>
    </row>
    <row r="34" spans="1:12" s="2" customFormat="1" ht="15.6" x14ac:dyDescent="0.3">
      <c r="B34" s="1545"/>
      <c r="C34" s="1546" t="s">
        <v>304</v>
      </c>
      <c r="D34" s="1547"/>
      <c r="E34" s="1547"/>
      <c r="F34" s="1548">
        <f>F15+F19+F27+F33</f>
        <v>5046285.8925000001</v>
      </c>
      <c r="G34" s="1548">
        <f>G15+G19+G27+G33</f>
        <v>5046285.8925000001</v>
      </c>
      <c r="H34" s="1548">
        <f>H15+H19+H27+H33</f>
        <v>5046285.8925000001</v>
      </c>
      <c r="I34" s="1548">
        <f>I15+I19+I27+I33</f>
        <v>5046285.8925000001</v>
      </c>
      <c r="J34" s="1548">
        <f>J15+J19+J27+J33</f>
        <v>20185143.57</v>
      </c>
      <c r="K34" s="2">
        <f t="shared" si="4"/>
        <v>5046285.8925000001</v>
      </c>
      <c r="L34" s="2">
        <v>2252860</v>
      </c>
    </row>
    <row r="35" spans="1:12" s="2" customFormat="1" ht="16.2" customHeight="1" x14ac:dyDescent="0.3">
      <c r="A35" s="1549"/>
      <c r="B35" s="1550"/>
      <c r="C35" s="1551"/>
      <c r="D35" s="1552"/>
      <c r="E35" s="1552"/>
      <c r="F35" s="727"/>
      <c r="G35" s="727"/>
      <c r="H35" s="727"/>
      <c r="I35" s="727"/>
      <c r="J35" s="727">
        <v>20035143.57</v>
      </c>
    </row>
    <row r="36" spans="1:12" s="2" customFormat="1" ht="15.6" x14ac:dyDescent="0.3">
      <c r="A36" s="1549"/>
      <c r="B36" s="1553"/>
      <c r="C36" s="1553"/>
      <c r="D36" s="1553"/>
      <c r="E36" s="1553"/>
      <c r="F36" s="727"/>
      <c r="G36" s="727"/>
      <c r="H36" s="727"/>
      <c r="I36" s="727"/>
      <c r="J36" s="1554">
        <f>J34-J35</f>
        <v>150000</v>
      </c>
      <c r="K36" s="2">
        <f>J30-K39</f>
        <v>424197.72400000039</v>
      </c>
    </row>
    <row r="37" spans="1:12" ht="15.6" x14ac:dyDescent="0.3">
      <c r="J37" s="727"/>
      <c r="L37" s="66">
        <f>J34-L34</f>
        <v>17932283.57</v>
      </c>
    </row>
    <row r="38" spans="1:12" ht="15.6" x14ac:dyDescent="0.3">
      <c r="I38" s="66" t="s">
        <v>623</v>
      </c>
      <c r="J38" s="727">
        <v>161467518.53999999</v>
      </c>
      <c r="K38" s="66">
        <f>J38*0.1</f>
        <v>16146751.854</v>
      </c>
    </row>
    <row r="39" spans="1:12" x14ac:dyDescent="0.3">
      <c r="K39" s="66">
        <f>J34-K38</f>
        <v>4038391.716</v>
      </c>
    </row>
    <row r="40" spans="1:12" x14ac:dyDescent="0.3">
      <c r="G40" s="166"/>
      <c r="H40" s="166"/>
      <c r="I40" s="166"/>
    </row>
    <row r="41" spans="1:12" x14ac:dyDescent="0.3">
      <c r="K41" s="2180"/>
    </row>
    <row r="42" spans="1:12" x14ac:dyDescent="0.3">
      <c r="K42" s="2181"/>
    </row>
    <row r="43" spans="1:12" x14ac:dyDescent="0.3">
      <c r="K43" s="2181"/>
    </row>
    <row r="44" spans="1:12" x14ac:dyDescent="0.3">
      <c r="E44" s="66" t="s">
        <v>616</v>
      </c>
      <c r="F44" s="66" t="s">
        <v>617</v>
      </c>
      <c r="H44" s="66">
        <v>7500000</v>
      </c>
    </row>
    <row r="45" spans="1:12" x14ac:dyDescent="0.3">
      <c r="E45" s="66" t="s">
        <v>618</v>
      </c>
      <c r="F45" s="66">
        <f>H45+H44</f>
        <v>12264930</v>
      </c>
      <c r="H45" s="66">
        <v>4764930</v>
      </c>
    </row>
    <row r="46" spans="1:12" x14ac:dyDescent="0.3">
      <c r="E46" s="66" t="s">
        <v>619</v>
      </c>
      <c r="F46" s="66">
        <v>2500000</v>
      </c>
    </row>
    <row r="47" spans="1:12" x14ac:dyDescent="0.3">
      <c r="E47" s="66" t="s">
        <v>164</v>
      </c>
      <c r="F47" s="66">
        <v>6000000</v>
      </c>
      <c r="I47" s="66">
        <v>24764930</v>
      </c>
    </row>
    <row r="48" spans="1:12" x14ac:dyDescent="0.3">
      <c r="E48" s="66" t="s">
        <v>621</v>
      </c>
      <c r="F48" s="66">
        <v>4000000</v>
      </c>
      <c r="J48" s="66"/>
    </row>
    <row r="49" spans="5:11" x14ac:dyDescent="0.3">
      <c r="E49" s="66" t="s">
        <v>624</v>
      </c>
      <c r="F49" s="66">
        <f>SUM(F45:F48)</f>
        <v>24764930</v>
      </c>
      <c r="J49" s="66"/>
    </row>
    <row r="50" spans="5:11" x14ac:dyDescent="0.3">
      <c r="J50" s="66"/>
    </row>
    <row r="56" spans="5:11" x14ac:dyDescent="0.3">
      <c r="J56" s="66">
        <v>82549768</v>
      </c>
      <c r="K56" s="66">
        <f>J56*0.3</f>
        <v>24764930.399999999</v>
      </c>
    </row>
  </sheetData>
  <mergeCells count="27">
    <mergeCell ref="K41:K43"/>
    <mergeCell ref="B31:B32"/>
    <mergeCell ref="C31:C32"/>
    <mergeCell ref="B29:B30"/>
    <mergeCell ref="C29:C30"/>
    <mergeCell ref="B21:B22"/>
    <mergeCell ref="C21:C22"/>
    <mergeCell ref="B25:B26"/>
    <mergeCell ref="C25:C26"/>
    <mergeCell ref="B23:B24"/>
    <mergeCell ref="C23:C24"/>
    <mergeCell ref="B13:B14"/>
    <mergeCell ref="C13:C14"/>
    <mergeCell ref="B17:B18"/>
    <mergeCell ref="C17:C18"/>
    <mergeCell ref="F1:I1"/>
    <mergeCell ref="C11:C12"/>
    <mergeCell ref="B11:B12"/>
    <mergeCell ref="J1:J2"/>
    <mergeCell ref="B6:B7"/>
    <mergeCell ref="C6:C7"/>
    <mergeCell ref="B9:B10"/>
    <mergeCell ref="C9:C10"/>
    <mergeCell ref="B1:B2"/>
    <mergeCell ref="C1:C2"/>
    <mergeCell ref="D1:D2"/>
    <mergeCell ref="E1:E2"/>
  </mergeCells>
  <pageMargins left="0.7" right="0.7" top="0.75" bottom="0.75" header="0.3" footer="0.3"/>
  <pageSetup scale="64" orientation="portrait" r:id="rId1"/>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66"/>
  <sheetViews>
    <sheetView view="pageBreakPreview" topLeftCell="H139" zoomScale="70" zoomScaleNormal="70" zoomScaleSheetLayoutView="70" workbookViewId="0">
      <selection activeCell="W173" sqref="W173:AA173"/>
    </sheetView>
  </sheetViews>
  <sheetFormatPr defaultColWidth="9.109375" defaultRowHeight="13.8" x14ac:dyDescent="0.25"/>
  <cols>
    <col min="1" max="1" width="6.5546875" style="535" bestFit="1" customWidth="1"/>
    <col min="2" max="2" width="34" style="523" customWidth="1"/>
    <col min="3" max="3" width="6.88671875" style="523" customWidth="1"/>
    <col min="4" max="4" width="11.33203125" style="596" bestFit="1" customWidth="1"/>
    <col min="5" max="5" width="16.109375" style="523" customWidth="1"/>
    <col min="6" max="6" width="9.6640625" style="523" bestFit="1" customWidth="1"/>
    <col min="7" max="7" width="15.109375" style="600" bestFit="1" customWidth="1"/>
    <col min="8" max="8" width="16.33203125" style="599" bestFit="1" customWidth="1"/>
    <col min="9" max="9" width="15.109375" style="600" bestFit="1" customWidth="1"/>
    <col min="10" max="10" width="16.5546875" style="600" bestFit="1" customWidth="1"/>
    <col min="11" max="11" width="16.44140625" style="600" bestFit="1" customWidth="1"/>
    <col min="12" max="12" width="5.5546875" style="523" bestFit="1" customWidth="1"/>
    <col min="13" max="13" width="10.44140625" style="523" customWidth="1"/>
    <col min="14" max="14" width="13.5546875" style="523" bestFit="1" customWidth="1"/>
    <col min="15" max="15" width="9.88671875" style="597" customWidth="1"/>
    <col min="16" max="17" width="11.109375" style="523" customWidth="1"/>
    <col min="18" max="18" width="18.44140625" style="523" customWidth="1"/>
    <col min="19" max="19" width="11.109375" style="523" customWidth="1"/>
    <col min="20" max="21" width="13" style="523" customWidth="1"/>
    <col min="22" max="22" width="15.88671875" style="535" customWidth="1"/>
    <col min="23" max="23" width="11.109375" style="523" customWidth="1"/>
    <col min="24" max="26" width="11.109375" style="535" customWidth="1"/>
    <col min="27" max="27" width="13.88671875" style="535" customWidth="1"/>
    <col min="28" max="28" width="14.109375" style="600" customWidth="1"/>
    <col min="29" max="29" width="62.5546875" style="523" customWidth="1"/>
    <col min="30" max="30" width="64.88671875" style="523" customWidth="1"/>
    <col min="31" max="31" width="23.6640625" style="602" customWidth="1"/>
    <col min="32" max="32" width="64.6640625" style="523" customWidth="1"/>
    <col min="33" max="33" width="74.33203125" style="523" customWidth="1"/>
    <col min="34" max="34" width="12.5546875" style="523" customWidth="1"/>
    <col min="35" max="35" width="14.5546875" style="523" customWidth="1"/>
    <col min="36" max="36" width="14" style="523" customWidth="1"/>
    <col min="37" max="37" width="16" style="523" customWidth="1"/>
    <col min="38" max="38" width="14.5546875" style="523" bestFit="1" customWidth="1"/>
    <col min="39" max="16384" width="9.109375" style="523"/>
  </cols>
  <sheetData>
    <row r="1" spans="1:37" s="1520" customFormat="1" ht="19.95" customHeight="1" x14ac:dyDescent="0.35">
      <c r="A1" s="2247" t="s">
        <v>33</v>
      </c>
      <c r="B1" s="2217"/>
      <c r="C1" s="2248" t="s">
        <v>693</v>
      </c>
      <c r="D1" s="2249"/>
      <c r="E1" s="2249"/>
      <c r="F1" s="2249"/>
      <c r="G1" s="2249"/>
      <c r="H1" s="2249"/>
      <c r="I1" s="2249"/>
      <c r="J1" s="2249"/>
      <c r="K1" s="2249"/>
      <c r="L1" s="2249"/>
      <c r="M1" s="2249"/>
      <c r="N1" s="2249"/>
      <c r="O1" s="1517"/>
      <c r="P1" s="1517"/>
      <c r="Q1" s="1517"/>
      <c r="R1" s="1518"/>
      <c r="S1" s="1518"/>
      <c r="T1" s="1518"/>
      <c r="U1" s="1518"/>
      <c r="V1" s="1519"/>
      <c r="X1" s="1521"/>
      <c r="Y1" s="1521"/>
      <c r="Z1" s="1521"/>
      <c r="AA1" s="1521"/>
      <c r="AB1" s="1522"/>
      <c r="AE1" s="1523"/>
    </row>
    <row r="2" spans="1:37" s="1520" customFormat="1" ht="19.95" customHeight="1" x14ac:dyDescent="0.35">
      <c r="A2" s="2216" t="s">
        <v>35</v>
      </c>
      <c r="B2" s="2217"/>
      <c r="C2" s="2241" t="s">
        <v>476</v>
      </c>
      <c r="D2" s="2242"/>
      <c r="E2" s="2242"/>
      <c r="F2" s="2242"/>
      <c r="G2" s="2242"/>
      <c r="H2" s="2242"/>
      <c r="I2" s="2242"/>
      <c r="J2" s="2242"/>
      <c r="K2" s="2242"/>
      <c r="L2" s="2242"/>
      <c r="M2" s="2242"/>
      <c r="N2" s="2242"/>
      <c r="O2" s="1524"/>
      <c r="P2" s="1524"/>
      <c r="Q2" s="1524"/>
      <c r="R2" s="1518"/>
      <c r="S2" s="1518"/>
      <c r="T2" s="1518"/>
      <c r="U2" s="1518"/>
      <c r="V2" s="1519"/>
      <c r="X2" s="1521"/>
      <c r="Y2" s="1521"/>
      <c r="Z2" s="1521"/>
      <c r="AA2" s="1521"/>
      <c r="AB2" s="1522"/>
      <c r="AE2" s="1523"/>
    </row>
    <row r="3" spans="1:37" s="1520" customFormat="1" ht="19.95" customHeight="1" x14ac:dyDescent="0.35">
      <c r="A3" s="2216" t="s">
        <v>36</v>
      </c>
      <c r="B3" s="2217"/>
      <c r="C3" s="2241" t="s">
        <v>37</v>
      </c>
      <c r="D3" s="2242"/>
      <c r="E3" s="2242"/>
      <c r="F3" s="2242"/>
      <c r="G3" s="2242"/>
      <c r="H3" s="2242"/>
      <c r="I3" s="2242"/>
      <c r="J3" s="2242"/>
      <c r="K3" s="2242"/>
      <c r="L3" s="2242"/>
      <c r="M3" s="2242"/>
      <c r="N3" s="2242"/>
      <c r="O3" s="1524"/>
      <c r="P3" s="1524"/>
      <c r="Q3" s="1524"/>
      <c r="R3" s="1518"/>
      <c r="S3" s="1518"/>
      <c r="T3" s="1518"/>
      <c r="U3" s="1518"/>
      <c r="V3" s="1519"/>
      <c r="X3" s="1521"/>
      <c r="Y3" s="1521"/>
      <c r="Z3" s="1521"/>
      <c r="AA3" s="1521"/>
      <c r="AB3" s="1522"/>
      <c r="AE3" s="1523"/>
    </row>
    <row r="4" spans="1:37" s="1520" customFormat="1" ht="19.95" customHeight="1" x14ac:dyDescent="0.35">
      <c r="A4" s="2216" t="s">
        <v>38</v>
      </c>
      <c r="B4" s="2217"/>
      <c r="C4" s="2241" t="s">
        <v>32</v>
      </c>
      <c r="D4" s="2242"/>
      <c r="E4" s="2242"/>
      <c r="F4" s="2242"/>
      <c r="G4" s="2242"/>
      <c r="H4" s="2242"/>
      <c r="I4" s="2242"/>
      <c r="J4" s="2242"/>
      <c r="K4" s="2242"/>
      <c r="L4" s="2242"/>
      <c r="M4" s="2242"/>
      <c r="N4" s="2242"/>
      <c r="O4" s="1524"/>
      <c r="P4" s="1524"/>
      <c r="Q4" s="1524"/>
      <c r="R4" s="1518"/>
      <c r="S4" s="1518"/>
      <c r="T4" s="1518"/>
      <c r="U4" s="1518"/>
      <c r="V4" s="1519"/>
      <c r="X4" s="1521"/>
      <c r="Y4" s="1521"/>
      <c r="Z4" s="1521"/>
      <c r="AA4" s="1521"/>
      <c r="AB4" s="1522"/>
      <c r="AE4" s="1523"/>
    </row>
    <row r="5" spans="1:37" s="1520" customFormat="1" ht="19.95" customHeight="1" x14ac:dyDescent="0.35">
      <c r="A5" s="2216" t="s">
        <v>39</v>
      </c>
      <c r="B5" s="2217"/>
      <c r="C5" s="2243" t="s">
        <v>501</v>
      </c>
      <c r="D5" s="2244"/>
      <c r="E5" s="2244"/>
      <c r="F5" s="2244"/>
      <c r="G5" s="2244"/>
      <c r="H5" s="2244"/>
      <c r="I5" s="2244"/>
      <c r="J5" s="2244"/>
      <c r="K5" s="2244"/>
      <c r="L5" s="2244"/>
      <c r="M5" s="2244"/>
      <c r="N5" s="2244"/>
      <c r="O5" s="1525"/>
      <c r="P5" s="1525"/>
      <c r="Q5" s="1525"/>
      <c r="R5" s="1526"/>
      <c r="S5" s="1526"/>
      <c r="T5" s="1526"/>
      <c r="U5" s="1526"/>
      <c r="V5" s="1519"/>
      <c r="X5" s="1521"/>
      <c r="Y5" s="1521"/>
      <c r="Z5" s="1521"/>
      <c r="AA5" s="1521"/>
      <c r="AB5" s="1522"/>
      <c r="AE5" s="1523"/>
    </row>
    <row r="6" spans="1:37" s="1520" customFormat="1" ht="19.95" customHeight="1" x14ac:dyDescent="0.35">
      <c r="A6" s="2216" t="s">
        <v>40</v>
      </c>
      <c r="B6" s="2217"/>
      <c r="C6" s="2245" t="s">
        <v>41</v>
      </c>
      <c r="D6" s="2246"/>
      <c r="E6" s="2246"/>
      <c r="F6" s="2246"/>
      <c r="G6" s="2246"/>
      <c r="H6" s="2246"/>
      <c r="I6" s="2246"/>
      <c r="J6" s="2246"/>
      <c r="K6" s="2246"/>
      <c r="L6" s="2246"/>
      <c r="M6" s="2246"/>
      <c r="N6" s="2246"/>
      <c r="O6" s="1526"/>
      <c r="P6" s="1526"/>
      <c r="Q6" s="1526"/>
      <c r="R6" s="1526"/>
      <c r="S6" s="1526"/>
      <c r="T6" s="1526"/>
      <c r="U6" s="1527"/>
      <c r="V6" s="1519"/>
      <c r="X6" s="1521"/>
      <c r="Y6" s="1521"/>
      <c r="Z6" s="1521"/>
      <c r="AA6" s="1521"/>
      <c r="AB6" s="1522"/>
      <c r="AE6" s="1523"/>
    </row>
    <row r="7" spans="1:37" s="1520" customFormat="1" ht="19.95" customHeight="1" x14ac:dyDescent="0.35">
      <c r="A7" s="2216" t="s">
        <v>42</v>
      </c>
      <c r="B7" s="2217"/>
      <c r="C7" s="2218" t="s">
        <v>43</v>
      </c>
      <c r="D7" s="2218"/>
      <c r="E7" s="2218"/>
      <c r="F7" s="2218"/>
      <c r="G7" s="2218"/>
      <c r="H7" s="2218"/>
      <c r="I7" s="2218"/>
      <c r="J7" s="2218"/>
      <c r="K7" s="2218"/>
      <c r="L7" s="2219" t="s">
        <v>705</v>
      </c>
      <c r="M7" s="2220"/>
      <c r="N7" s="2220"/>
      <c r="O7" s="1526"/>
      <c r="P7" s="1526"/>
      <c r="Q7" s="1526"/>
      <c r="R7" s="1526"/>
      <c r="S7" s="1526"/>
      <c r="T7" s="1526"/>
      <c r="U7" s="1526"/>
      <c r="V7" s="1519"/>
      <c r="X7" s="1521"/>
      <c r="Y7" s="1521"/>
      <c r="Z7" s="1521"/>
      <c r="AA7" s="1521"/>
      <c r="AB7" s="1522"/>
      <c r="AE7" s="1523"/>
    </row>
    <row r="8" spans="1:37" s="1520" customFormat="1" ht="19.95" customHeight="1" thickBot="1" x14ac:dyDescent="0.4">
      <c r="A8" s="2221" t="s">
        <v>44</v>
      </c>
      <c r="B8" s="2222"/>
      <c r="C8" s="2223" t="s">
        <v>45</v>
      </c>
      <c r="D8" s="2224"/>
      <c r="E8" s="2224"/>
      <c r="F8" s="2224"/>
      <c r="G8" s="2224"/>
      <c r="H8" s="2224"/>
      <c r="I8" s="2225"/>
      <c r="J8" s="2225"/>
      <c r="K8" s="2225"/>
      <c r="L8" s="2225"/>
      <c r="M8" s="2225"/>
      <c r="N8" s="2225"/>
      <c r="O8" s="2226"/>
      <c r="P8" s="2226"/>
      <c r="Q8" s="2226"/>
      <c r="R8" s="2226"/>
      <c r="S8" s="2226"/>
      <c r="T8" s="2226"/>
      <c r="U8" s="2226"/>
      <c r="V8" s="1528"/>
      <c r="W8" s="1529"/>
      <c r="X8" s="1528"/>
      <c r="Y8" s="1528"/>
      <c r="Z8" s="1528"/>
      <c r="AA8" s="2235" t="s">
        <v>23</v>
      </c>
      <c r="AB8" s="2235"/>
      <c r="AE8" s="1523"/>
    </row>
    <row r="9" spans="1:37" s="1520" customFormat="1" ht="34.200000000000003" customHeight="1" thickTop="1" x14ac:dyDescent="0.35">
      <c r="A9" s="2236" t="s">
        <v>46</v>
      </c>
      <c r="B9" s="2238" t="s">
        <v>47</v>
      </c>
      <c r="C9" s="2240" t="s">
        <v>48</v>
      </c>
      <c r="D9" s="2240"/>
      <c r="E9" s="2240" t="s">
        <v>49</v>
      </c>
      <c r="F9" s="2240"/>
      <c r="G9" s="2240"/>
      <c r="H9" s="2240"/>
      <c r="I9" s="2240"/>
      <c r="J9" s="2240"/>
      <c r="K9" s="2240"/>
      <c r="L9" s="2240"/>
      <c r="M9" s="2240"/>
      <c r="N9" s="2240"/>
      <c r="O9" s="1872"/>
      <c r="P9" s="2250" t="s">
        <v>50</v>
      </c>
      <c r="Q9" s="2250"/>
      <c r="R9" s="2240" t="s">
        <v>51</v>
      </c>
      <c r="S9" s="2240"/>
      <c r="T9" s="2240" t="s">
        <v>52</v>
      </c>
      <c r="U9" s="2240"/>
      <c r="V9" s="1873" t="s">
        <v>819</v>
      </c>
      <c r="W9" s="1873"/>
      <c r="X9" s="1874"/>
      <c r="Y9" s="2251" t="s">
        <v>54</v>
      </c>
      <c r="Z9" s="2251"/>
      <c r="AA9" s="2251"/>
      <c r="AB9" s="2251"/>
      <c r="AE9" s="1523"/>
    </row>
    <row r="10" spans="1:37" ht="104.4" customHeight="1" x14ac:dyDescent="0.25">
      <c r="A10" s="2237"/>
      <c r="B10" s="2239"/>
      <c r="C10" s="1875" t="s">
        <v>5</v>
      </c>
      <c r="D10" s="1876" t="s">
        <v>55</v>
      </c>
      <c r="E10" s="1875" t="s">
        <v>56</v>
      </c>
      <c r="F10" s="1875" t="s">
        <v>57</v>
      </c>
      <c r="G10" s="1876" t="s">
        <v>779</v>
      </c>
      <c r="H10" s="1876" t="s">
        <v>780</v>
      </c>
      <c r="I10" s="2252" t="s">
        <v>59</v>
      </c>
      <c r="J10" s="2252"/>
      <c r="K10" s="2252"/>
      <c r="L10" s="2252"/>
      <c r="M10" s="1875" t="s">
        <v>60</v>
      </c>
      <c r="N10" s="1875" t="s">
        <v>61</v>
      </c>
      <c r="O10" s="1875" t="s">
        <v>62</v>
      </c>
      <c r="P10" s="1875" t="s">
        <v>63</v>
      </c>
      <c r="Q10" s="1875" t="s">
        <v>64</v>
      </c>
      <c r="R10" s="1875" t="s">
        <v>65</v>
      </c>
      <c r="S10" s="1875" t="s">
        <v>66</v>
      </c>
      <c r="T10" s="1875" t="s">
        <v>67</v>
      </c>
      <c r="U10" s="1875" t="s">
        <v>64</v>
      </c>
      <c r="V10" s="1875" t="s">
        <v>68</v>
      </c>
      <c r="W10" s="1875" t="s">
        <v>69</v>
      </c>
      <c r="X10" s="1877" t="s">
        <v>70</v>
      </c>
      <c r="Y10" s="1878" t="s">
        <v>71</v>
      </c>
      <c r="Z10" s="1878" t="s">
        <v>72</v>
      </c>
      <c r="AA10" s="1878" t="s">
        <v>73</v>
      </c>
      <c r="AB10" s="1879" t="s">
        <v>74</v>
      </c>
    </row>
    <row r="11" spans="1:37" s="1515" customFormat="1" ht="55.8" customHeight="1" thickBot="1" x14ac:dyDescent="0.35">
      <c r="A11" s="1500"/>
      <c r="B11" s="1501"/>
      <c r="C11" s="1502"/>
      <c r="D11" s="1503"/>
      <c r="E11" s="1504"/>
      <c r="F11" s="1504"/>
      <c r="G11" s="1503"/>
      <c r="H11" s="1505"/>
      <c r="I11" s="1530" t="s">
        <v>75</v>
      </c>
      <c r="J11" s="1503" t="s">
        <v>76</v>
      </c>
      <c r="K11" s="1506" t="s">
        <v>77</v>
      </c>
      <c r="L11" s="1507" t="s">
        <v>78</v>
      </c>
      <c r="M11" s="1504"/>
      <c r="N11" s="1508"/>
      <c r="O11" s="1509"/>
      <c r="P11" s="1510" t="s">
        <v>79</v>
      </c>
      <c r="Q11" s="1510" t="s">
        <v>80</v>
      </c>
      <c r="R11" s="1510" t="s">
        <v>81</v>
      </c>
      <c r="S11" s="1510" t="s">
        <v>82</v>
      </c>
      <c r="T11" s="1510" t="s">
        <v>83</v>
      </c>
      <c r="U11" s="1510" t="s">
        <v>84</v>
      </c>
      <c r="V11" s="1511"/>
      <c r="W11" s="1510" t="s">
        <v>84</v>
      </c>
      <c r="X11" s="1512" t="s">
        <v>85</v>
      </c>
      <c r="Y11" s="1513" t="s">
        <v>86</v>
      </c>
      <c r="Z11" s="1513" t="s">
        <v>87</v>
      </c>
      <c r="AA11" s="1513" t="s">
        <v>88</v>
      </c>
      <c r="AB11" s="1514"/>
      <c r="AE11" s="1516"/>
    </row>
    <row r="12" spans="1:37" ht="16.2" x14ac:dyDescent="0.25">
      <c r="A12" s="604"/>
      <c r="B12" s="1162" t="s">
        <v>291</v>
      </c>
      <c r="C12" s="537"/>
      <c r="D12" s="538"/>
      <c r="E12" s="539"/>
      <c r="F12" s="539"/>
      <c r="G12" s="538"/>
      <c r="H12" s="540"/>
      <c r="I12" s="538"/>
      <c r="J12" s="538"/>
      <c r="K12" s="1157"/>
      <c r="L12" s="541"/>
      <c r="M12" s="539"/>
      <c r="N12" s="542"/>
      <c r="O12" s="543"/>
      <c r="P12" s="544"/>
      <c r="Q12" s="544"/>
      <c r="R12" s="544"/>
      <c r="S12" s="544"/>
      <c r="T12" s="544"/>
      <c r="U12" s="544"/>
      <c r="V12" s="545"/>
      <c r="W12" s="544"/>
      <c r="X12" s="546"/>
      <c r="Y12" s="547"/>
      <c r="Z12" s="547"/>
      <c r="AA12" s="547"/>
      <c r="AB12" s="618"/>
      <c r="AC12" s="583"/>
      <c r="AD12" s="583"/>
      <c r="AE12" s="605"/>
      <c r="AF12" s="606"/>
      <c r="AG12" s="607"/>
      <c r="AH12" s="601"/>
    </row>
    <row r="13" spans="1:37" s="1183" customFormat="1" ht="16.2" x14ac:dyDescent="0.25">
      <c r="A13" s="1168"/>
      <c r="B13" s="1169" t="s">
        <v>89</v>
      </c>
      <c r="C13" s="1170"/>
      <c r="D13" s="1171"/>
      <c r="E13" s="1172"/>
      <c r="F13" s="1172"/>
      <c r="G13" s="1171"/>
      <c r="H13" s="1173"/>
      <c r="I13" s="1171"/>
      <c r="J13" s="1171"/>
      <c r="K13" s="1174"/>
      <c r="L13" s="1175"/>
      <c r="M13" s="1172"/>
      <c r="N13" s="1176"/>
      <c r="O13" s="1177"/>
      <c r="P13" s="1178"/>
      <c r="Q13" s="1178"/>
      <c r="R13" s="1178"/>
      <c r="S13" s="1178"/>
      <c r="T13" s="1178"/>
      <c r="U13" s="1178"/>
      <c r="V13" s="1179"/>
      <c r="W13" s="1178"/>
      <c r="X13" s="1180"/>
      <c r="Y13" s="1181"/>
      <c r="Z13" s="1181"/>
      <c r="AA13" s="1181"/>
      <c r="AB13" s="1182"/>
      <c r="AE13" s="1184"/>
      <c r="AF13" s="1185"/>
      <c r="AG13" s="1186"/>
      <c r="AH13" s="1187"/>
    </row>
    <row r="14" spans="1:37" ht="13.8" customHeight="1" x14ac:dyDescent="0.25">
      <c r="A14" s="2230">
        <v>1</v>
      </c>
      <c r="B14" s="2131" t="s">
        <v>706</v>
      </c>
      <c r="C14" s="2231" t="s">
        <v>707</v>
      </c>
      <c r="D14" s="1156"/>
      <c r="E14" s="2206" t="s">
        <v>821</v>
      </c>
      <c r="F14" s="1150"/>
      <c r="G14" s="2232">
        <v>3409056.69</v>
      </c>
      <c r="H14" s="2209">
        <f>G14</f>
        <v>3409056.69</v>
      </c>
      <c r="I14" s="2209">
        <f>J14</f>
        <v>772645.02174437896</v>
      </c>
      <c r="J14" s="2209">
        <f>K14*0.414561030583245</f>
        <v>772645.02174437896</v>
      </c>
      <c r="K14" s="2209">
        <f>H14/1.82912206116649</f>
        <v>1863766.646511242</v>
      </c>
      <c r="L14" s="2227"/>
      <c r="M14" s="2200" t="s">
        <v>90</v>
      </c>
      <c r="N14" s="2200" t="s">
        <v>91</v>
      </c>
      <c r="O14" s="549" t="s">
        <v>92</v>
      </c>
      <c r="P14" s="550">
        <f>Q14-7</f>
        <v>44137</v>
      </c>
      <c r="Q14" s="551">
        <f>R14-7</f>
        <v>44144</v>
      </c>
      <c r="R14" s="552">
        <v>44151</v>
      </c>
      <c r="S14" s="552">
        <f>R14+15</f>
        <v>44166</v>
      </c>
      <c r="T14" s="552">
        <f>S14+7</f>
        <v>44173</v>
      </c>
      <c r="U14" s="552">
        <f>T14+7</f>
        <v>44180</v>
      </c>
      <c r="V14" s="619"/>
      <c r="W14" s="552">
        <f>U14+7</f>
        <v>44187</v>
      </c>
      <c r="X14" s="553">
        <f>W14+7</f>
        <v>44194</v>
      </c>
      <c r="Y14" s="554">
        <f>X14+7</f>
        <v>44201</v>
      </c>
      <c r="Z14" s="554">
        <f>Y14+150</f>
        <v>44351</v>
      </c>
      <c r="AA14" s="554">
        <f>Z14+365</f>
        <v>44716</v>
      </c>
      <c r="AB14" s="620"/>
      <c r="AC14" s="583">
        <f>H14</f>
        <v>3409056.69</v>
      </c>
      <c r="AD14" s="583">
        <f>AC14*0.03</f>
        <v>102271.7007</v>
      </c>
      <c r="AE14" s="608">
        <v>1</v>
      </c>
      <c r="AF14" s="610">
        <f t="shared" ref="AF14:AF103" si="0">AC14-AD14</f>
        <v>3306784.9893</v>
      </c>
      <c r="AG14" s="611">
        <f>AF14+AD14</f>
        <v>3409056.69</v>
      </c>
      <c r="AH14" s="609">
        <v>3</v>
      </c>
      <c r="AI14" s="583">
        <f>AC14</f>
        <v>3409056.69</v>
      </c>
      <c r="AJ14" s="583">
        <f>AI14*0.025</f>
        <v>85226.417249999999</v>
      </c>
      <c r="AK14" s="583">
        <f>AI14-AJ14</f>
        <v>3323830.27275</v>
      </c>
    </row>
    <row r="15" spans="1:37" x14ac:dyDescent="0.25">
      <c r="A15" s="2230"/>
      <c r="B15" s="2132"/>
      <c r="C15" s="2231"/>
      <c r="D15" s="1156">
        <v>2548</v>
      </c>
      <c r="E15" s="2207"/>
      <c r="F15" s="1151"/>
      <c r="G15" s="2233"/>
      <c r="H15" s="2210"/>
      <c r="I15" s="2210"/>
      <c r="J15" s="2210"/>
      <c r="K15" s="2210"/>
      <c r="L15" s="2228"/>
      <c r="M15" s="2201"/>
      <c r="N15" s="2201"/>
      <c r="O15" s="549" t="s">
        <v>93</v>
      </c>
      <c r="P15" s="555"/>
      <c r="Q15" s="556"/>
      <c r="R15" s="555"/>
      <c r="S15" s="555"/>
      <c r="T15" s="555"/>
      <c r="U15" s="556"/>
      <c r="V15" s="621"/>
      <c r="W15" s="557"/>
      <c r="X15" s="558"/>
      <c r="Y15" s="559"/>
      <c r="Z15" s="568"/>
      <c r="AA15" s="559"/>
      <c r="AB15" s="622"/>
      <c r="AC15" s="583">
        <f t="shared" ref="AC15:AC103" si="1">H15</f>
        <v>0</v>
      </c>
      <c r="AD15" s="583">
        <f t="shared" ref="AD15:AD103" si="2">AC15*0.03</f>
        <v>0</v>
      </c>
      <c r="AE15" s="608"/>
      <c r="AF15" s="610">
        <f t="shared" si="0"/>
        <v>0</v>
      </c>
      <c r="AG15" s="611">
        <f t="shared" ref="AG15:AG103" si="3">AF15+AD15</f>
        <v>0</v>
      </c>
      <c r="AH15" s="609"/>
      <c r="AI15" s="583">
        <f t="shared" ref="AI15:AI103" si="4">AC15</f>
        <v>0</v>
      </c>
      <c r="AJ15" s="583">
        <f t="shared" ref="AJ15:AJ103" si="5">AI15*0.025</f>
        <v>0</v>
      </c>
      <c r="AK15" s="583">
        <f t="shared" ref="AK15:AK103" si="6">AI15-AJ15</f>
        <v>0</v>
      </c>
    </row>
    <row r="16" spans="1:37" x14ac:dyDescent="0.25">
      <c r="A16" s="2230"/>
      <c r="B16" s="2133"/>
      <c r="C16" s="2231"/>
      <c r="D16" s="1156"/>
      <c r="E16" s="2208"/>
      <c r="F16" s="1152"/>
      <c r="G16" s="2234"/>
      <c r="H16" s="2211"/>
      <c r="I16" s="2211"/>
      <c r="J16" s="2211"/>
      <c r="K16" s="2211"/>
      <c r="L16" s="2229"/>
      <c r="M16" s="2202"/>
      <c r="N16" s="2202"/>
      <c r="O16" s="549" t="s">
        <v>94</v>
      </c>
      <c r="P16" s="560"/>
      <c r="Q16" s="561"/>
      <c r="R16" s="557"/>
      <c r="S16" s="557"/>
      <c r="T16" s="562"/>
      <c r="U16" s="562"/>
      <c r="V16" s="623"/>
      <c r="W16" s="562"/>
      <c r="X16" s="558"/>
      <c r="Y16" s="559"/>
      <c r="AB16" s="622"/>
      <c r="AC16" s="583">
        <f t="shared" si="1"/>
        <v>0</v>
      </c>
      <c r="AD16" s="583">
        <f t="shared" si="2"/>
        <v>0</v>
      </c>
      <c r="AE16" s="608"/>
      <c r="AF16" s="610">
        <f t="shared" si="0"/>
        <v>0</v>
      </c>
      <c r="AG16" s="611">
        <f t="shared" si="3"/>
        <v>0</v>
      </c>
      <c r="AH16" s="609"/>
      <c r="AI16" s="583">
        <f t="shared" si="4"/>
        <v>0</v>
      </c>
      <c r="AJ16" s="583">
        <f t="shared" si="5"/>
        <v>0</v>
      </c>
      <c r="AK16" s="583">
        <f t="shared" si="6"/>
        <v>0</v>
      </c>
    </row>
    <row r="17" spans="1:37" ht="13.8" customHeight="1" x14ac:dyDescent="0.25">
      <c r="A17" s="2230">
        <v>2</v>
      </c>
      <c r="B17" s="2131" t="s">
        <v>803</v>
      </c>
      <c r="C17" s="2231" t="s">
        <v>707</v>
      </c>
      <c r="D17" s="1156"/>
      <c r="E17" s="2206" t="s">
        <v>822</v>
      </c>
      <c r="F17" s="1150"/>
      <c r="G17" s="2232">
        <v>2158666.98</v>
      </c>
      <c r="H17" s="2209">
        <f>G17</f>
        <v>2158666.98</v>
      </c>
      <c r="I17" s="2209">
        <f>J17</f>
        <v>489250.67764155398</v>
      </c>
      <c r="J17" s="2209">
        <f>K17*0.414561030583245</f>
        <v>489250.67764155398</v>
      </c>
      <c r="K17" s="2209">
        <f>H17/1.82912206116649</f>
        <v>1180165.6247168921</v>
      </c>
      <c r="L17" s="2227"/>
      <c r="M17" s="2200" t="s">
        <v>90</v>
      </c>
      <c r="N17" s="2200" t="s">
        <v>91</v>
      </c>
      <c r="O17" s="549" t="s">
        <v>92</v>
      </c>
      <c r="P17" s="550">
        <f>Q17-7</f>
        <v>44137</v>
      </c>
      <c r="Q17" s="551">
        <f>R17-7</f>
        <v>44144</v>
      </c>
      <c r="R17" s="552">
        <v>44151</v>
      </c>
      <c r="S17" s="552">
        <f>R17+15</f>
        <v>44166</v>
      </c>
      <c r="T17" s="552">
        <f>S17+7</f>
        <v>44173</v>
      </c>
      <c r="U17" s="552">
        <f>T17+7</f>
        <v>44180</v>
      </c>
      <c r="V17" s="619"/>
      <c r="W17" s="552">
        <f>U17+7</f>
        <v>44187</v>
      </c>
      <c r="X17" s="553">
        <f>W17+7</f>
        <v>44194</v>
      </c>
      <c r="Y17" s="554">
        <f>X17+7</f>
        <v>44201</v>
      </c>
      <c r="Z17" s="554">
        <f>Y17+150</f>
        <v>44351</v>
      </c>
      <c r="AA17" s="554">
        <f>Z17+365</f>
        <v>44716</v>
      </c>
      <c r="AB17" s="620"/>
      <c r="AC17" s="583">
        <f t="shared" si="1"/>
        <v>2158666.98</v>
      </c>
      <c r="AD17" s="583">
        <f t="shared" si="2"/>
        <v>64760.009399999995</v>
      </c>
      <c r="AE17" s="608">
        <v>2</v>
      </c>
      <c r="AF17" s="610">
        <f t="shared" si="0"/>
        <v>2093906.9705999999</v>
      </c>
      <c r="AG17" s="611">
        <f t="shared" si="3"/>
        <v>2158666.98</v>
      </c>
      <c r="AH17" s="609">
        <v>4</v>
      </c>
      <c r="AI17" s="583">
        <f t="shared" si="4"/>
        <v>2158666.98</v>
      </c>
      <c r="AJ17" s="583">
        <f t="shared" si="5"/>
        <v>53966.674500000001</v>
      </c>
      <c r="AK17" s="583">
        <f t="shared" si="6"/>
        <v>2104700.3054999998</v>
      </c>
    </row>
    <row r="18" spans="1:37" x14ac:dyDescent="0.25">
      <c r="A18" s="2230"/>
      <c r="B18" s="2132"/>
      <c r="C18" s="2231"/>
      <c r="D18" s="1156">
        <v>1470</v>
      </c>
      <c r="E18" s="2207"/>
      <c r="F18" s="1151"/>
      <c r="G18" s="2233"/>
      <c r="H18" s="2210"/>
      <c r="I18" s="2210"/>
      <c r="J18" s="2210"/>
      <c r="K18" s="2210"/>
      <c r="L18" s="2228"/>
      <c r="M18" s="2201"/>
      <c r="N18" s="2201"/>
      <c r="O18" s="549" t="s">
        <v>93</v>
      </c>
      <c r="P18" s="555"/>
      <c r="Q18" s="556"/>
      <c r="R18" s="555"/>
      <c r="S18" s="555"/>
      <c r="T18" s="555"/>
      <c r="U18" s="556"/>
      <c r="V18" s="621"/>
      <c r="W18" s="557"/>
      <c r="X18" s="558"/>
      <c r="Y18" s="559"/>
      <c r="Z18" s="568"/>
      <c r="AA18" s="559"/>
      <c r="AB18" s="622"/>
      <c r="AC18" s="583">
        <f t="shared" si="1"/>
        <v>0</v>
      </c>
      <c r="AD18" s="583">
        <f t="shared" si="2"/>
        <v>0</v>
      </c>
      <c r="AE18" s="608"/>
      <c r="AF18" s="610">
        <f t="shared" si="0"/>
        <v>0</v>
      </c>
      <c r="AG18" s="611">
        <f t="shared" si="3"/>
        <v>0</v>
      </c>
      <c r="AH18" s="609"/>
      <c r="AI18" s="583">
        <f t="shared" si="4"/>
        <v>0</v>
      </c>
      <c r="AJ18" s="583">
        <f t="shared" si="5"/>
        <v>0</v>
      </c>
      <c r="AK18" s="583">
        <f t="shared" si="6"/>
        <v>0</v>
      </c>
    </row>
    <row r="19" spans="1:37" x14ac:dyDescent="0.25">
      <c r="A19" s="2230"/>
      <c r="B19" s="2133"/>
      <c r="C19" s="2231"/>
      <c r="D19" s="1156"/>
      <c r="E19" s="2208"/>
      <c r="F19" s="1152"/>
      <c r="G19" s="2234"/>
      <c r="H19" s="2211"/>
      <c r="I19" s="2211"/>
      <c r="J19" s="2211"/>
      <c r="K19" s="2211"/>
      <c r="L19" s="2229"/>
      <c r="M19" s="2202"/>
      <c r="N19" s="2202"/>
      <c r="O19" s="549" t="s">
        <v>94</v>
      </c>
      <c r="P19" s="560"/>
      <c r="Q19" s="561"/>
      <c r="R19" s="557"/>
      <c r="S19" s="557"/>
      <c r="T19" s="562"/>
      <c r="U19" s="562"/>
      <c r="V19" s="623"/>
      <c r="W19" s="562"/>
      <c r="X19" s="558"/>
      <c r="Y19" s="559"/>
      <c r="AB19" s="622"/>
      <c r="AC19" s="583">
        <f t="shared" si="1"/>
        <v>0</v>
      </c>
      <c r="AD19" s="583">
        <f t="shared" si="2"/>
        <v>0</v>
      </c>
      <c r="AE19" s="608"/>
      <c r="AF19" s="610">
        <f t="shared" si="0"/>
        <v>0</v>
      </c>
      <c r="AG19" s="611">
        <f t="shared" si="3"/>
        <v>0</v>
      </c>
      <c r="AH19" s="609"/>
      <c r="AI19" s="583">
        <f t="shared" si="4"/>
        <v>0</v>
      </c>
      <c r="AJ19" s="583">
        <f t="shared" si="5"/>
        <v>0</v>
      </c>
      <c r="AK19" s="583">
        <f t="shared" si="6"/>
        <v>0</v>
      </c>
    </row>
    <row r="20" spans="1:37" ht="13.8" customHeight="1" x14ac:dyDescent="0.25">
      <c r="A20" s="2230">
        <v>3</v>
      </c>
      <c r="B20" s="2128" t="s">
        <v>802</v>
      </c>
      <c r="C20" s="2231" t="s">
        <v>707</v>
      </c>
      <c r="D20" s="1156"/>
      <c r="E20" s="2206" t="s">
        <v>823</v>
      </c>
      <c r="F20" s="1454"/>
      <c r="G20" s="1321">
        <v>1909901.61</v>
      </c>
      <c r="H20" s="2209">
        <f>G20</f>
        <v>1909901.61</v>
      </c>
      <c r="I20" s="2209">
        <f>J20</f>
        <v>432869.29645868536</v>
      </c>
      <c r="J20" s="2209">
        <f>K20*0.414561030583245</f>
        <v>432869.29645868536</v>
      </c>
      <c r="K20" s="2209">
        <f>H20/1.82912206116649</f>
        <v>1044163.0170826295</v>
      </c>
      <c r="L20" s="2227"/>
      <c r="M20" s="2200" t="s">
        <v>90</v>
      </c>
      <c r="N20" s="2200" t="s">
        <v>91</v>
      </c>
      <c r="O20" s="549" t="s">
        <v>92</v>
      </c>
      <c r="P20" s="550">
        <f>Q20-7</f>
        <v>44137</v>
      </c>
      <c r="Q20" s="551">
        <f>R20-7</f>
        <v>44144</v>
      </c>
      <c r="R20" s="552">
        <v>44151</v>
      </c>
      <c r="S20" s="552">
        <f>R20+15</f>
        <v>44166</v>
      </c>
      <c r="T20" s="552">
        <f>S20+7</f>
        <v>44173</v>
      </c>
      <c r="U20" s="552">
        <f>T20+7</f>
        <v>44180</v>
      </c>
      <c r="V20" s="619"/>
      <c r="W20" s="552">
        <f>U20+7</f>
        <v>44187</v>
      </c>
      <c r="X20" s="553">
        <f>W20+7</f>
        <v>44194</v>
      </c>
      <c r="Y20" s="554">
        <f>X20+7</f>
        <v>44201</v>
      </c>
      <c r="Z20" s="554">
        <f>Y20+150</f>
        <v>44351</v>
      </c>
      <c r="AA20" s="554">
        <f>Z20+365</f>
        <v>44716</v>
      </c>
      <c r="AB20" s="620"/>
      <c r="AC20" s="583">
        <f>H20</f>
        <v>1909901.61</v>
      </c>
      <c r="AD20" s="583">
        <f>AC20*0.03</f>
        <v>57297.048300000002</v>
      </c>
      <c r="AE20" s="608">
        <v>3</v>
      </c>
      <c r="AF20" s="610">
        <f>AC20-AD20</f>
        <v>1852604.5617000002</v>
      </c>
      <c r="AG20" s="611">
        <f>AF20+AD20</f>
        <v>1909901.61</v>
      </c>
      <c r="AH20" s="609">
        <v>5</v>
      </c>
      <c r="AI20" s="583">
        <f>AC20</f>
        <v>1909901.61</v>
      </c>
      <c r="AJ20" s="583">
        <f>AI20*0.025</f>
        <v>47747.540250000005</v>
      </c>
      <c r="AK20" s="583">
        <f>AI20-AJ20</f>
        <v>1862154.06975</v>
      </c>
    </row>
    <row r="21" spans="1:37" x14ac:dyDescent="0.25">
      <c r="A21" s="2230"/>
      <c r="B21" s="2129"/>
      <c r="C21" s="2231"/>
      <c r="D21" s="1156">
        <v>1470</v>
      </c>
      <c r="E21" s="2207"/>
      <c r="F21" s="1455"/>
      <c r="G21" s="1326"/>
      <c r="H21" s="2210"/>
      <c r="I21" s="2210"/>
      <c r="J21" s="2210"/>
      <c r="K21" s="2210"/>
      <c r="L21" s="2228"/>
      <c r="M21" s="2201"/>
      <c r="N21" s="2201"/>
      <c r="O21" s="549" t="s">
        <v>93</v>
      </c>
      <c r="P21" s="555"/>
      <c r="Q21" s="556"/>
      <c r="R21" s="555"/>
      <c r="S21" s="555"/>
      <c r="T21" s="555"/>
      <c r="U21" s="556"/>
      <c r="V21" s="621"/>
      <c r="W21" s="557"/>
      <c r="X21" s="558"/>
      <c r="Y21" s="559"/>
      <c r="Z21" s="568"/>
      <c r="AA21" s="559"/>
      <c r="AB21" s="622"/>
      <c r="AC21" s="583">
        <f>H21</f>
        <v>0</v>
      </c>
      <c r="AD21" s="583">
        <f>AC21*0.03</f>
        <v>0</v>
      </c>
      <c r="AE21" s="608"/>
      <c r="AF21" s="610">
        <f>AC21-AD21</f>
        <v>0</v>
      </c>
      <c r="AG21" s="611">
        <f>AF21+AD21</f>
        <v>0</v>
      </c>
      <c r="AH21" s="609"/>
      <c r="AI21" s="583">
        <f>AC21</f>
        <v>0</v>
      </c>
      <c r="AJ21" s="583">
        <f>AI21*0.025</f>
        <v>0</v>
      </c>
      <c r="AK21" s="583">
        <f>AI21-AJ21</f>
        <v>0</v>
      </c>
    </row>
    <row r="22" spans="1:37" x14ac:dyDescent="0.25">
      <c r="A22" s="2230"/>
      <c r="B22" s="2130"/>
      <c r="C22" s="2231"/>
      <c r="D22" s="1156"/>
      <c r="E22" s="2208"/>
      <c r="F22" s="1456"/>
      <c r="G22" s="1327"/>
      <c r="H22" s="2211"/>
      <c r="I22" s="2211"/>
      <c r="J22" s="2211"/>
      <c r="K22" s="2211"/>
      <c r="L22" s="2229"/>
      <c r="M22" s="2202"/>
      <c r="N22" s="2202"/>
      <c r="O22" s="549" t="s">
        <v>94</v>
      </c>
      <c r="P22" s="560"/>
      <c r="Q22" s="561"/>
      <c r="R22" s="557"/>
      <c r="S22" s="557"/>
      <c r="T22" s="562"/>
      <c r="U22" s="562"/>
      <c r="V22" s="623"/>
      <c r="W22" s="562"/>
      <c r="X22" s="558"/>
      <c r="Y22" s="559"/>
      <c r="AB22" s="622"/>
      <c r="AC22" s="583">
        <f>H22</f>
        <v>0</v>
      </c>
      <c r="AD22" s="583">
        <f>AC22*0.03</f>
        <v>0</v>
      </c>
      <c r="AE22" s="608"/>
      <c r="AF22" s="610">
        <f>AC22-AD22</f>
        <v>0</v>
      </c>
      <c r="AG22" s="611">
        <f>AF22+AD22</f>
        <v>0</v>
      </c>
      <c r="AH22" s="609"/>
      <c r="AI22" s="583">
        <f>AC22</f>
        <v>0</v>
      </c>
      <c r="AJ22" s="583">
        <f>AI22*0.025</f>
        <v>0</v>
      </c>
      <c r="AK22" s="583">
        <f>AI22-AJ22</f>
        <v>0</v>
      </c>
    </row>
    <row r="23" spans="1:37" ht="13.8" customHeight="1" x14ac:dyDescent="0.25">
      <c r="A23" s="2230">
        <v>4</v>
      </c>
      <c r="B23" s="2128" t="s">
        <v>708</v>
      </c>
      <c r="C23" s="2231" t="s">
        <v>707</v>
      </c>
      <c r="D23" s="1156"/>
      <c r="E23" s="2206" t="s">
        <v>824</v>
      </c>
      <c r="F23" s="1150"/>
      <c r="G23" s="2232">
        <v>2962220.34</v>
      </c>
      <c r="H23" s="2209">
        <f>G23</f>
        <v>2962220.34</v>
      </c>
      <c r="I23" s="2209">
        <f>J23</f>
        <v>671371.88000559236</v>
      </c>
      <c r="J23" s="2209">
        <f>K23*0.414561030583245</f>
        <v>671371.88000559236</v>
      </c>
      <c r="K23" s="2209">
        <f>H23/1.82912206116649</f>
        <v>1619476.5799888154</v>
      </c>
      <c r="L23" s="2227"/>
      <c r="M23" s="2200" t="s">
        <v>90</v>
      </c>
      <c r="N23" s="2200" t="s">
        <v>91</v>
      </c>
      <c r="O23" s="549" t="s">
        <v>92</v>
      </c>
      <c r="P23" s="550">
        <f>Q23-7</f>
        <v>44137</v>
      </c>
      <c r="Q23" s="551">
        <f>R23-7</f>
        <v>44144</v>
      </c>
      <c r="R23" s="552">
        <v>44151</v>
      </c>
      <c r="S23" s="552">
        <f>R23+15</f>
        <v>44166</v>
      </c>
      <c r="T23" s="552">
        <f>S23+7</f>
        <v>44173</v>
      </c>
      <c r="U23" s="552">
        <f>T23+7</f>
        <v>44180</v>
      </c>
      <c r="V23" s="619"/>
      <c r="W23" s="552">
        <f>U23+7</f>
        <v>44187</v>
      </c>
      <c r="X23" s="553">
        <f>W23+7</f>
        <v>44194</v>
      </c>
      <c r="Y23" s="554">
        <f>X23+7</f>
        <v>44201</v>
      </c>
      <c r="Z23" s="554">
        <f>Y23+150</f>
        <v>44351</v>
      </c>
      <c r="AA23" s="554">
        <f>Z23+365</f>
        <v>44716</v>
      </c>
      <c r="AB23" s="620"/>
      <c r="AC23" s="583">
        <f t="shared" si="1"/>
        <v>2962220.34</v>
      </c>
      <c r="AD23" s="583">
        <f t="shared" si="2"/>
        <v>88866.610199999996</v>
      </c>
      <c r="AE23" s="608">
        <v>3</v>
      </c>
      <c r="AF23" s="610">
        <f t="shared" si="0"/>
        <v>2873353.7297999999</v>
      </c>
      <c r="AG23" s="611">
        <f t="shared" si="3"/>
        <v>2962220.34</v>
      </c>
      <c r="AH23" s="609">
        <v>5</v>
      </c>
      <c r="AI23" s="583">
        <f t="shared" si="4"/>
        <v>2962220.34</v>
      </c>
      <c r="AJ23" s="583">
        <f t="shared" si="5"/>
        <v>74055.508499999996</v>
      </c>
      <c r="AK23" s="583">
        <f t="shared" si="6"/>
        <v>2888164.8314999999</v>
      </c>
    </row>
    <row r="24" spans="1:37" x14ac:dyDescent="0.25">
      <c r="A24" s="2230"/>
      <c r="B24" s="2129"/>
      <c r="C24" s="2231"/>
      <c r="D24" s="1156">
        <v>2310</v>
      </c>
      <c r="E24" s="2207"/>
      <c r="F24" s="1151"/>
      <c r="G24" s="2233"/>
      <c r="H24" s="2210"/>
      <c r="I24" s="2210"/>
      <c r="J24" s="2210"/>
      <c r="K24" s="2210"/>
      <c r="L24" s="2228"/>
      <c r="M24" s="2201"/>
      <c r="N24" s="2201"/>
      <c r="O24" s="549" t="s">
        <v>93</v>
      </c>
      <c r="P24" s="555"/>
      <c r="Q24" s="556"/>
      <c r="R24" s="555"/>
      <c r="S24" s="555"/>
      <c r="T24" s="555"/>
      <c r="U24" s="556"/>
      <c r="V24" s="621"/>
      <c r="W24" s="557"/>
      <c r="X24" s="558"/>
      <c r="Y24" s="559"/>
      <c r="Z24" s="568"/>
      <c r="AA24" s="559"/>
      <c r="AB24" s="622"/>
      <c r="AC24" s="583">
        <f t="shared" si="1"/>
        <v>0</v>
      </c>
      <c r="AD24" s="583">
        <f t="shared" si="2"/>
        <v>0</v>
      </c>
      <c r="AE24" s="608"/>
      <c r="AF24" s="610">
        <f t="shared" si="0"/>
        <v>0</v>
      </c>
      <c r="AG24" s="611">
        <f t="shared" si="3"/>
        <v>0</v>
      </c>
      <c r="AH24" s="609"/>
      <c r="AI24" s="583">
        <f t="shared" si="4"/>
        <v>0</v>
      </c>
      <c r="AJ24" s="583">
        <f t="shared" si="5"/>
        <v>0</v>
      </c>
      <c r="AK24" s="583">
        <f t="shared" si="6"/>
        <v>0</v>
      </c>
    </row>
    <row r="25" spans="1:37" x14ac:dyDescent="0.25">
      <c r="A25" s="2230"/>
      <c r="B25" s="2130"/>
      <c r="C25" s="2231"/>
      <c r="D25" s="1156"/>
      <c r="E25" s="2208"/>
      <c r="F25" s="1152"/>
      <c r="G25" s="2234"/>
      <c r="H25" s="2211"/>
      <c r="I25" s="2211"/>
      <c r="J25" s="2211"/>
      <c r="K25" s="2211"/>
      <c r="L25" s="2229"/>
      <c r="M25" s="2202"/>
      <c r="N25" s="2202"/>
      <c r="O25" s="549" t="s">
        <v>94</v>
      </c>
      <c r="P25" s="560"/>
      <c r="Q25" s="561"/>
      <c r="R25" s="557"/>
      <c r="S25" s="557"/>
      <c r="T25" s="562"/>
      <c r="U25" s="562"/>
      <c r="V25" s="623"/>
      <c r="W25" s="562"/>
      <c r="X25" s="558"/>
      <c r="Y25" s="559"/>
      <c r="AB25" s="622"/>
      <c r="AC25" s="583">
        <f t="shared" si="1"/>
        <v>0</v>
      </c>
      <c r="AD25" s="583">
        <f t="shared" si="2"/>
        <v>0</v>
      </c>
      <c r="AE25" s="608"/>
      <c r="AF25" s="610">
        <f t="shared" si="0"/>
        <v>0</v>
      </c>
      <c r="AG25" s="611">
        <f t="shared" si="3"/>
        <v>0</v>
      </c>
      <c r="AH25" s="609"/>
      <c r="AI25" s="583">
        <f t="shared" si="4"/>
        <v>0</v>
      </c>
      <c r="AJ25" s="583">
        <f t="shared" si="5"/>
        <v>0</v>
      </c>
      <c r="AK25" s="583">
        <f t="shared" si="6"/>
        <v>0</v>
      </c>
    </row>
    <row r="26" spans="1:37" ht="13.8" customHeight="1" x14ac:dyDescent="0.25">
      <c r="A26" s="2230">
        <v>5</v>
      </c>
      <c r="B26" s="2128" t="s">
        <v>709</v>
      </c>
      <c r="C26" s="2231" t="s">
        <v>707</v>
      </c>
      <c r="D26" s="1156"/>
      <c r="E26" s="2206" t="s">
        <v>825</v>
      </c>
      <c r="F26" s="1150"/>
      <c r="G26" s="2232">
        <v>2707345.17</v>
      </c>
      <c r="H26" s="2209">
        <f>G26</f>
        <v>2707345.17</v>
      </c>
      <c r="I26" s="2209">
        <f>J26</f>
        <v>613605.74433398154</v>
      </c>
      <c r="J26" s="2209">
        <f>K26*0.414561030583245</f>
        <v>613605.74433398154</v>
      </c>
      <c r="K26" s="2209">
        <f>H26/1.82912206116649</f>
        <v>1480133.6813320369</v>
      </c>
      <c r="L26" s="2227"/>
      <c r="M26" s="2200" t="s">
        <v>90</v>
      </c>
      <c r="N26" s="2200" t="s">
        <v>91</v>
      </c>
      <c r="O26" s="549" t="s">
        <v>92</v>
      </c>
      <c r="P26" s="550">
        <f>Q26-7</f>
        <v>44137</v>
      </c>
      <c r="Q26" s="551">
        <f>R26-7</f>
        <v>44144</v>
      </c>
      <c r="R26" s="552">
        <v>44151</v>
      </c>
      <c r="S26" s="552">
        <f>R26+15</f>
        <v>44166</v>
      </c>
      <c r="T26" s="552">
        <f>S26+7</f>
        <v>44173</v>
      </c>
      <c r="U26" s="552">
        <f>T26+7</f>
        <v>44180</v>
      </c>
      <c r="V26" s="619"/>
      <c r="W26" s="552">
        <f>U26+7</f>
        <v>44187</v>
      </c>
      <c r="X26" s="553">
        <f>W26+7</f>
        <v>44194</v>
      </c>
      <c r="Y26" s="554">
        <f>X26+7</f>
        <v>44201</v>
      </c>
      <c r="Z26" s="554">
        <f>Y26+150</f>
        <v>44351</v>
      </c>
      <c r="AA26" s="554">
        <f>Z26+365</f>
        <v>44716</v>
      </c>
      <c r="AB26" s="620"/>
      <c r="AC26" s="583">
        <f t="shared" si="1"/>
        <v>2707345.17</v>
      </c>
      <c r="AD26" s="583">
        <f t="shared" si="2"/>
        <v>81220.355100000001</v>
      </c>
      <c r="AE26" s="608">
        <v>4</v>
      </c>
      <c r="AF26" s="610">
        <f t="shared" si="0"/>
        <v>2626124.8149000001</v>
      </c>
      <c r="AG26" s="611">
        <f t="shared" si="3"/>
        <v>2707345.17</v>
      </c>
      <c r="AH26" s="609">
        <v>3</v>
      </c>
      <c r="AI26" s="583">
        <f t="shared" si="4"/>
        <v>2707345.17</v>
      </c>
      <c r="AJ26" s="583">
        <f t="shared" si="5"/>
        <v>67683.629249999998</v>
      </c>
      <c r="AK26" s="583">
        <f t="shared" si="6"/>
        <v>2639661.5407499997</v>
      </c>
    </row>
    <row r="27" spans="1:37" x14ac:dyDescent="0.25">
      <c r="A27" s="2230"/>
      <c r="B27" s="2129"/>
      <c r="C27" s="2231"/>
      <c r="D27" s="1156">
        <v>2310</v>
      </c>
      <c r="E27" s="2207"/>
      <c r="F27" s="1151"/>
      <c r="G27" s="2233"/>
      <c r="H27" s="2210"/>
      <c r="I27" s="2210"/>
      <c r="J27" s="2210"/>
      <c r="K27" s="2210"/>
      <c r="L27" s="2228"/>
      <c r="M27" s="2201"/>
      <c r="N27" s="2201"/>
      <c r="O27" s="549" t="s">
        <v>93</v>
      </c>
      <c r="P27" s="555"/>
      <c r="Q27" s="556"/>
      <c r="R27" s="555"/>
      <c r="S27" s="555"/>
      <c r="T27" s="555"/>
      <c r="U27" s="556"/>
      <c r="V27" s="621"/>
      <c r="W27" s="557"/>
      <c r="X27" s="558"/>
      <c r="Y27" s="559"/>
      <c r="Z27" s="568"/>
      <c r="AA27" s="559"/>
      <c r="AB27" s="622"/>
      <c r="AC27" s="583">
        <f t="shared" si="1"/>
        <v>0</v>
      </c>
      <c r="AD27" s="583">
        <f t="shared" si="2"/>
        <v>0</v>
      </c>
      <c r="AE27" s="608"/>
      <c r="AF27" s="610">
        <f t="shared" si="0"/>
        <v>0</v>
      </c>
      <c r="AG27" s="611">
        <f t="shared" si="3"/>
        <v>0</v>
      </c>
      <c r="AH27" s="609"/>
      <c r="AI27" s="583">
        <f t="shared" si="4"/>
        <v>0</v>
      </c>
      <c r="AJ27" s="583">
        <f t="shared" si="5"/>
        <v>0</v>
      </c>
      <c r="AK27" s="583">
        <f t="shared" si="6"/>
        <v>0</v>
      </c>
    </row>
    <row r="28" spans="1:37" x14ac:dyDescent="0.25">
      <c r="A28" s="2230"/>
      <c r="B28" s="2130"/>
      <c r="C28" s="2231"/>
      <c r="D28" s="1156"/>
      <c r="E28" s="2208"/>
      <c r="F28" s="1152"/>
      <c r="G28" s="2234"/>
      <c r="H28" s="2211"/>
      <c r="I28" s="2211"/>
      <c r="J28" s="2211"/>
      <c r="K28" s="2211"/>
      <c r="L28" s="2229"/>
      <c r="M28" s="2202"/>
      <c r="N28" s="2202"/>
      <c r="O28" s="549" t="s">
        <v>94</v>
      </c>
      <c r="P28" s="560"/>
      <c r="Q28" s="561"/>
      <c r="R28" s="557"/>
      <c r="S28" s="557"/>
      <c r="T28" s="562"/>
      <c r="U28" s="562"/>
      <c r="V28" s="623"/>
      <c r="W28" s="562"/>
      <c r="X28" s="558"/>
      <c r="Y28" s="559"/>
      <c r="AB28" s="622"/>
      <c r="AC28" s="583">
        <f t="shared" si="1"/>
        <v>0</v>
      </c>
      <c r="AD28" s="583">
        <f t="shared" si="2"/>
        <v>0</v>
      </c>
      <c r="AE28" s="608"/>
      <c r="AF28" s="610">
        <f t="shared" si="0"/>
        <v>0</v>
      </c>
      <c r="AG28" s="611">
        <f t="shared" si="3"/>
        <v>0</v>
      </c>
      <c r="AH28" s="609"/>
      <c r="AI28" s="583">
        <f t="shared" si="4"/>
        <v>0</v>
      </c>
      <c r="AJ28" s="583">
        <f t="shared" si="5"/>
        <v>0</v>
      </c>
      <c r="AK28" s="583">
        <f t="shared" si="6"/>
        <v>0</v>
      </c>
    </row>
    <row r="29" spans="1:37" ht="13.8" customHeight="1" x14ac:dyDescent="0.25">
      <c r="A29" s="2230">
        <v>6</v>
      </c>
      <c r="B29" s="2128" t="s">
        <v>710</v>
      </c>
      <c r="C29" s="2231" t="s">
        <v>707</v>
      </c>
      <c r="D29" s="1156"/>
      <c r="E29" s="2206" t="s">
        <v>826</v>
      </c>
      <c r="F29" s="1150"/>
      <c r="G29" s="2232">
        <v>3072009.34</v>
      </c>
      <c r="H29" s="2209">
        <f>G29</f>
        <v>3072009.34</v>
      </c>
      <c r="I29" s="2209">
        <f>J29</f>
        <v>696254.98756467877</v>
      </c>
      <c r="J29" s="2209">
        <f>K29*0.414561030583245</f>
        <v>696254.98756467877</v>
      </c>
      <c r="K29" s="2209">
        <f>H29/1.82912206116649</f>
        <v>1679499.3648706421</v>
      </c>
      <c r="L29" s="2227"/>
      <c r="M29" s="2200" t="s">
        <v>90</v>
      </c>
      <c r="N29" s="2200" t="s">
        <v>91</v>
      </c>
      <c r="O29" s="549" t="s">
        <v>92</v>
      </c>
      <c r="P29" s="550">
        <f>Q29-7</f>
        <v>44137</v>
      </c>
      <c r="Q29" s="551">
        <f>R29-7</f>
        <v>44144</v>
      </c>
      <c r="R29" s="552">
        <v>44151</v>
      </c>
      <c r="S29" s="552">
        <f>R29+15</f>
        <v>44166</v>
      </c>
      <c r="T29" s="552">
        <f>S29+7</f>
        <v>44173</v>
      </c>
      <c r="U29" s="552">
        <f>T29+7</f>
        <v>44180</v>
      </c>
      <c r="V29" s="619"/>
      <c r="W29" s="552">
        <f>U29+7</f>
        <v>44187</v>
      </c>
      <c r="X29" s="553">
        <f>W29+7</f>
        <v>44194</v>
      </c>
      <c r="Y29" s="554">
        <f>X29+7</f>
        <v>44201</v>
      </c>
      <c r="Z29" s="554">
        <f>Y29+150</f>
        <v>44351</v>
      </c>
      <c r="AA29" s="554">
        <f>Z29+365</f>
        <v>44716</v>
      </c>
      <c r="AB29" s="620"/>
      <c r="AC29" s="583">
        <f t="shared" si="1"/>
        <v>3072009.34</v>
      </c>
      <c r="AD29" s="583">
        <f t="shared" si="2"/>
        <v>92160.280199999994</v>
      </c>
      <c r="AE29" s="608">
        <v>5</v>
      </c>
      <c r="AF29" s="610">
        <f t="shared" si="0"/>
        <v>2979849.0597999999</v>
      </c>
      <c r="AG29" s="611">
        <f t="shared" si="3"/>
        <v>3072009.34</v>
      </c>
      <c r="AH29" s="609">
        <v>4</v>
      </c>
      <c r="AI29" s="583">
        <f t="shared" si="4"/>
        <v>3072009.34</v>
      </c>
      <c r="AJ29" s="583">
        <f t="shared" si="5"/>
        <v>76800.233500000002</v>
      </c>
      <c r="AK29" s="583">
        <f t="shared" si="6"/>
        <v>2995209.1064999998</v>
      </c>
    </row>
    <row r="30" spans="1:37" x14ac:dyDescent="0.25">
      <c r="A30" s="2230"/>
      <c r="B30" s="2129"/>
      <c r="C30" s="2231"/>
      <c r="D30" s="1156">
        <v>2380</v>
      </c>
      <c r="E30" s="2207"/>
      <c r="F30" s="1151"/>
      <c r="G30" s="2233"/>
      <c r="H30" s="2210"/>
      <c r="I30" s="2210"/>
      <c r="J30" s="2210"/>
      <c r="K30" s="2210"/>
      <c r="L30" s="2228"/>
      <c r="M30" s="2201"/>
      <c r="N30" s="2201"/>
      <c r="O30" s="549" t="s">
        <v>93</v>
      </c>
      <c r="P30" s="555"/>
      <c r="Q30" s="556"/>
      <c r="R30" s="555"/>
      <c r="S30" s="555"/>
      <c r="T30" s="555"/>
      <c r="U30" s="556"/>
      <c r="V30" s="621"/>
      <c r="W30" s="557"/>
      <c r="X30" s="558"/>
      <c r="Y30" s="559"/>
      <c r="Z30" s="568"/>
      <c r="AA30" s="559"/>
      <c r="AB30" s="622"/>
      <c r="AC30" s="583">
        <f t="shared" si="1"/>
        <v>0</v>
      </c>
      <c r="AD30" s="583">
        <f t="shared" si="2"/>
        <v>0</v>
      </c>
      <c r="AE30" s="608"/>
      <c r="AF30" s="610">
        <f t="shared" si="0"/>
        <v>0</v>
      </c>
      <c r="AG30" s="611">
        <f t="shared" si="3"/>
        <v>0</v>
      </c>
      <c r="AH30" s="609"/>
      <c r="AI30" s="583">
        <f t="shared" si="4"/>
        <v>0</v>
      </c>
      <c r="AJ30" s="583">
        <f t="shared" si="5"/>
        <v>0</v>
      </c>
      <c r="AK30" s="583">
        <f t="shared" si="6"/>
        <v>0</v>
      </c>
    </row>
    <row r="31" spans="1:37" x14ac:dyDescent="0.25">
      <c r="A31" s="2230"/>
      <c r="B31" s="2130"/>
      <c r="C31" s="2231"/>
      <c r="D31" s="1156"/>
      <c r="E31" s="2208"/>
      <c r="F31" s="1152"/>
      <c r="G31" s="2234"/>
      <c r="H31" s="2211"/>
      <c r="I31" s="2211"/>
      <c r="J31" s="2211"/>
      <c r="K31" s="2211"/>
      <c r="L31" s="2229"/>
      <c r="M31" s="2202"/>
      <c r="N31" s="2202"/>
      <c r="O31" s="549" t="s">
        <v>94</v>
      </c>
      <c r="P31" s="560"/>
      <c r="Q31" s="561"/>
      <c r="R31" s="557"/>
      <c r="S31" s="557"/>
      <c r="T31" s="562"/>
      <c r="U31" s="562"/>
      <c r="V31" s="623"/>
      <c r="W31" s="562"/>
      <c r="X31" s="558"/>
      <c r="Y31" s="559"/>
      <c r="AB31" s="622"/>
      <c r="AC31" s="583">
        <f t="shared" si="1"/>
        <v>0</v>
      </c>
      <c r="AD31" s="583">
        <f t="shared" si="2"/>
        <v>0</v>
      </c>
      <c r="AE31" s="608"/>
      <c r="AF31" s="610">
        <f t="shared" si="0"/>
        <v>0</v>
      </c>
      <c r="AG31" s="611">
        <f t="shared" si="3"/>
        <v>0</v>
      </c>
      <c r="AH31" s="609"/>
      <c r="AI31" s="583">
        <f t="shared" si="4"/>
        <v>0</v>
      </c>
      <c r="AJ31" s="583">
        <f t="shared" si="5"/>
        <v>0</v>
      </c>
      <c r="AK31" s="583">
        <f t="shared" si="6"/>
        <v>0</v>
      </c>
    </row>
    <row r="32" spans="1:37" ht="13.8" customHeight="1" x14ac:dyDescent="0.25">
      <c r="A32" s="2230">
        <v>7</v>
      </c>
      <c r="B32" s="2135" t="s">
        <v>711</v>
      </c>
      <c r="C32" s="2231" t="s">
        <v>707</v>
      </c>
      <c r="D32" s="1156"/>
      <c r="E32" s="2206" t="s">
        <v>827</v>
      </c>
      <c r="F32" s="1150"/>
      <c r="G32" s="2232">
        <v>3285820.16</v>
      </c>
      <c r="H32" s="2209">
        <f>G32</f>
        <v>3285820.16</v>
      </c>
      <c r="I32" s="2209">
        <f>J32</f>
        <v>744714.10124051617</v>
      </c>
      <c r="J32" s="2209">
        <f>K32*0.414561030583245</f>
        <v>744714.10124051617</v>
      </c>
      <c r="K32" s="2209">
        <f>H32/1.82912206116649</f>
        <v>1796391.9575189678</v>
      </c>
      <c r="L32" s="2227"/>
      <c r="M32" s="2200" t="s">
        <v>90</v>
      </c>
      <c r="N32" s="2200" t="s">
        <v>91</v>
      </c>
      <c r="O32" s="549" t="s">
        <v>92</v>
      </c>
      <c r="P32" s="550">
        <f>Q32-7</f>
        <v>44137</v>
      </c>
      <c r="Q32" s="551">
        <f>R32-7</f>
        <v>44144</v>
      </c>
      <c r="R32" s="552">
        <v>44151</v>
      </c>
      <c r="S32" s="552">
        <f>R32+15</f>
        <v>44166</v>
      </c>
      <c r="T32" s="552">
        <f>S32+7</f>
        <v>44173</v>
      </c>
      <c r="U32" s="552">
        <f>T32+7</f>
        <v>44180</v>
      </c>
      <c r="V32" s="619"/>
      <c r="W32" s="552">
        <f>U32+7</f>
        <v>44187</v>
      </c>
      <c r="X32" s="553">
        <f>W32+7</f>
        <v>44194</v>
      </c>
      <c r="Y32" s="554">
        <f>X32+7</f>
        <v>44201</v>
      </c>
      <c r="Z32" s="554">
        <f>Y32+150</f>
        <v>44351</v>
      </c>
      <c r="AA32" s="554">
        <f>Z32+365</f>
        <v>44716</v>
      </c>
      <c r="AB32" s="620"/>
      <c r="AC32" s="583">
        <f t="shared" si="1"/>
        <v>3285820.16</v>
      </c>
      <c r="AD32" s="583">
        <f t="shared" si="2"/>
        <v>98574.604800000001</v>
      </c>
      <c r="AE32" s="608">
        <v>6</v>
      </c>
      <c r="AF32" s="610">
        <f t="shared" si="0"/>
        <v>3187245.5552000003</v>
      </c>
      <c r="AG32" s="611">
        <f t="shared" si="3"/>
        <v>3285820.16</v>
      </c>
      <c r="AH32" s="609">
        <v>5</v>
      </c>
      <c r="AI32" s="583">
        <f t="shared" si="4"/>
        <v>3285820.16</v>
      </c>
      <c r="AJ32" s="583">
        <f t="shared" si="5"/>
        <v>82145.504000000015</v>
      </c>
      <c r="AK32" s="583">
        <f t="shared" si="6"/>
        <v>3203674.656</v>
      </c>
    </row>
    <row r="33" spans="1:37" x14ac:dyDescent="0.25">
      <c r="A33" s="2230"/>
      <c r="B33" s="2136"/>
      <c r="C33" s="2231"/>
      <c r="D33" s="1156">
        <v>2625</v>
      </c>
      <c r="E33" s="2207"/>
      <c r="F33" s="1151"/>
      <c r="G33" s="2233"/>
      <c r="H33" s="2210"/>
      <c r="I33" s="2210"/>
      <c r="J33" s="2210"/>
      <c r="K33" s="2210"/>
      <c r="L33" s="2228"/>
      <c r="M33" s="2201"/>
      <c r="N33" s="2201"/>
      <c r="O33" s="549" t="s">
        <v>93</v>
      </c>
      <c r="P33" s="555"/>
      <c r="Q33" s="556"/>
      <c r="R33" s="555"/>
      <c r="S33" s="555"/>
      <c r="T33" s="555"/>
      <c r="U33" s="556"/>
      <c r="V33" s="621"/>
      <c r="W33" s="557"/>
      <c r="X33" s="558"/>
      <c r="Y33" s="559"/>
      <c r="Z33" s="568"/>
      <c r="AA33" s="559"/>
      <c r="AB33" s="622"/>
      <c r="AC33" s="583">
        <f t="shared" si="1"/>
        <v>0</v>
      </c>
      <c r="AD33" s="583">
        <f t="shared" si="2"/>
        <v>0</v>
      </c>
      <c r="AE33" s="608"/>
      <c r="AF33" s="610">
        <f t="shared" si="0"/>
        <v>0</v>
      </c>
      <c r="AG33" s="611">
        <f t="shared" si="3"/>
        <v>0</v>
      </c>
      <c r="AH33" s="609"/>
      <c r="AI33" s="583">
        <f t="shared" si="4"/>
        <v>0</v>
      </c>
      <c r="AJ33" s="583">
        <f t="shared" si="5"/>
        <v>0</v>
      </c>
      <c r="AK33" s="583">
        <f t="shared" si="6"/>
        <v>0</v>
      </c>
    </row>
    <row r="34" spans="1:37" x14ac:dyDescent="0.25">
      <c r="A34" s="2230"/>
      <c r="B34" s="2137"/>
      <c r="C34" s="2231"/>
      <c r="D34" s="1156"/>
      <c r="E34" s="2208"/>
      <c r="F34" s="1152"/>
      <c r="G34" s="2234"/>
      <c r="H34" s="2211"/>
      <c r="I34" s="2211"/>
      <c r="J34" s="2211"/>
      <c r="K34" s="2211"/>
      <c r="L34" s="2229"/>
      <c r="M34" s="2202"/>
      <c r="N34" s="2202"/>
      <c r="O34" s="549" t="s">
        <v>94</v>
      </c>
      <c r="P34" s="560"/>
      <c r="Q34" s="561"/>
      <c r="R34" s="557"/>
      <c r="S34" s="557"/>
      <c r="T34" s="562"/>
      <c r="U34" s="562"/>
      <c r="V34" s="623"/>
      <c r="W34" s="562"/>
      <c r="X34" s="558"/>
      <c r="Y34" s="559"/>
      <c r="AB34" s="622"/>
      <c r="AC34" s="583">
        <f t="shared" si="1"/>
        <v>0</v>
      </c>
      <c r="AD34" s="583">
        <f t="shared" si="2"/>
        <v>0</v>
      </c>
      <c r="AE34" s="608"/>
      <c r="AF34" s="610">
        <f t="shared" si="0"/>
        <v>0</v>
      </c>
      <c r="AG34" s="611">
        <f t="shared" si="3"/>
        <v>0</v>
      </c>
      <c r="AH34" s="609"/>
      <c r="AI34" s="583">
        <f t="shared" si="4"/>
        <v>0</v>
      </c>
      <c r="AJ34" s="583">
        <f t="shared" si="5"/>
        <v>0</v>
      </c>
      <c r="AK34" s="583">
        <f t="shared" si="6"/>
        <v>0</v>
      </c>
    </row>
    <row r="35" spans="1:37" ht="13.8" customHeight="1" x14ac:dyDescent="0.25">
      <c r="A35" s="2230">
        <v>8</v>
      </c>
      <c r="B35" s="2128" t="s">
        <v>712</v>
      </c>
      <c r="C35" s="2231" t="s">
        <v>707</v>
      </c>
      <c r="D35" s="1156"/>
      <c r="E35" s="2206" t="s">
        <v>828</v>
      </c>
      <c r="F35" s="1150"/>
      <c r="G35" s="2232">
        <v>2235173.13</v>
      </c>
      <c r="H35" s="2209">
        <f>G35</f>
        <v>2235173.13</v>
      </c>
      <c r="I35" s="2209">
        <f>J35</f>
        <v>506590.39983031247</v>
      </c>
      <c r="J35" s="2209">
        <f>K35*0.414561030583245</f>
        <v>506590.39983031247</v>
      </c>
      <c r="K35" s="2209">
        <f>H35/1.82912206116649</f>
        <v>1221992.330339375</v>
      </c>
      <c r="L35" s="2227"/>
      <c r="M35" s="2200" t="s">
        <v>90</v>
      </c>
      <c r="N35" s="2200" t="s">
        <v>91</v>
      </c>
      <c r="O35" s="549" t="s">
        <v>92</v>
      </c>
      <c r="P35" s="550">
        <f>Q35-7</f>
        <v>44137</v>
      </c>
      <c r="Q35" s="551">
        <f>R35-7</f>
        <v>44144</v>
      </c>
      <c r="R35" s="552">
        <v>44151</v>
      </c>
      <c r="S35" s="552">
        <f>R35+15</f>
        <v>44166</v>
      </c>
      <c r="T35" s="552">
        <f>S35+7</f>
        <v>44173</v>
      </c>
      <c r="U35" s="552">
        <f>T35+7</f>
        <v>44180</v>
      </c>
      <c r="V35" s="619"/>
      <c r="W35" s="552">
        <f>U35+7</f>
        <v>44187</v>
      </c>
      <c r="X35" s="553">
        <f>W35+7</f>
        <v>44194</v>
      </c>
      <c r="Y35" s="554">
        <f>X35+7</f>
        <v>44201</v>
      </c>
      <c r="Z35" s="554">
        <f>Y35+150</f>
        <v>44351</v>
      </c>
      <c r="AA35" s="554">
        <f>Z35+365</f>
        <v>44716</v>
      </c>
      <c r="AB35" s="620"/>
      <c r="AC35" s="583">
        <f t="shared" si="1"/>
        <v>2235173.13</v>
      </c>
      <c r="AD35" s="583">
        <f t="shared" si="2"/>
        <v>67055.193899999998</v>
      </c>
      <c r="AE35" s="608">
        <v>7</v>
      </c>
      <c r="AF35" s="610">
        <f t="shared" si="0"/>
        <v>2168117.9361</v>
      </c>
      <c r="AG35" s="611">
        <f t="shared" si="3"/>
        <v>2235173.13</v>
      </c>
      <c r="AH35" s="609">
        <v>3</v>
      </c>
      <c r="AI35" s="583">
        <f t="shared" si="4"/>
        <v>2235173.13</v>
      </c>
      <c r="AJ35" s="583">
        <f t="shared" si="5"/>
        <v>55879.328249999999</v>
      </c>
      <c r="AK35" s="583">
        <f t="shared" si="6"/>
        <v>2179293.8017500001</v>
      </c>
    </row>
    <row r="36" spans="1:37" x14ac:dyDescent="0.25">
      <c r="A36" s="2230"/>
      <c r="B36" s="2129"/>
      <c r="C36" s="2231"/>
      <c r="D36" s="1156">
        <v>1750</v>
      </c>
      <c r="E36" s="2207"/>
      <c r="F36" s="1151"/>
      <c r="G36" s="2233"/>
      <c r="H36" s="2210"/>
      <c r="I36" s="2210"/>
      <c r="J36" s="2210"/>
      <c r="K36" s="2210"/>
      <c r="L36" s="2228"/>
      <c r="M36" s="2201"/>
      <c r="N36" s="2201"/>
      <c r="O36" s="549" t="s">
        <v>93</v>
      </c>
      <c r="P36" s="555"/>
      <c r="Q36" s="556"/>
      <c r="R36" s="555"/>
      <c r="S36" s="555"/>
      <c r="T36" s="555"/>
      <c r="U36" s="556"/>
      <c r="V36" s="621"/>
      <c r="W36" s="557"/>
      <c r="X36" s="558"/>
      <c r="Y36" s="559"/>
      <c r="Z36" s="568"/>
      <c r="AA36" s="559"/>
      <c r="AB36" s="622"/>
      <c r="AC36" s="583">
        <f t="shared" si="1"/>
        <v>0</v>
      </c>
      <c r="AD36" s="583">
        <f t="shared" si="2"/>
        <v>0</v>
      </c>
      <c r="AE36" s="608"/>
      <c r="AF36" s="610">
        <f t="shared" si="0"/>
        <v>0</v>
      </c>
      <c r="AG36" s="611">
        <f t="shared" si="3"/>
        <v>0</v>
      </c>
      <c r="AH36" s="609"/>
      <c r="AI36" s="583">
        <f t="shared" si="4"/>
        <v>0</v>
      </c>
      <c r="AJ36" s="583">
        <f t="shared" si="5"/>
        <v>0</v>
      </c>
      <c r="AK36" s="583">
        <f t="shared" si="6"/>
        <v>0</v>
      </c>
    </row>
    <row r="37" spans="1:37" x14ac:dyDescent="0.25">
      <c r="A37" s="2230"/>
      <c r="B37" s="2130"/>
      <c r="C37" s="2231"/>
      <c r="D37" s="1156"/>
      <c r="E37" s="2208"/>
      <c r="F37" s="1152"/>
      <c r="G37" s="2234"/>
      <c r="H37" s="2211"/>
      <c r="I37" s="2211"/>
      <c r="J37" s="2211"/>
      <c r="K37" s="2211"/>
      <c r="L37" s="2229"/>
      <c r="M37" s="2202"/>
      <c r="N37" s="2202"/>
      <c r="O37" s="549" t="s">
        <v>94</v>
      </c>
      <c r="P37" s="560"/>
      <c r="Q37" s="561"/>
      <c r="R37" s="557"/>
      <c r="S37" s="557"/>
      <c r="T37" s="562"/>
      <c r="U37" s="562"/>
      <c r="V37" s="623"/>
      <c r="W37" s="562"/>
      <c r="X37" s="558"/>
      <c r="Y37" s="559"/>
      <c r="AB37" s="622"/>
      <c r="AC37" s="583">
        <f t="shared" si="1"/>
        <v>0</v>
      </c>
      <c r="AD37" s="583">
        <f t="shared" si="2"/>
        <v>0</v>
      </c>
      <c r="AE37" s="608"/>
      <c r="AF37" s="610">
        <f t="shared" si="0"/>
        <v>0</v>
      </c>
      <c r="AG37" s="611">
        <f t="shared" si="3"/>
        <v>0</v>
      </c>
      <c r="AH37" s="609"/>
      <c r="AI37" s="583">
        <f t="shared" si="4"/>
        <v>0</v>
      </c>
      <c r="AJ37" s="583">
        <f t="shared" si="5"/>
        <v>0</v>
      </c>
      <c r="AK37" s="583">
        <f t="shared" si="6"/>
        <v>0</v>
      </c>
    </row>
    <row r="38" spans="1:37" ht="13.8" customHeight="1" x14ac:dyDescent="0.25">
      <c r="A38" s="2230">
        <v>9</v>
      </c>
      <c r="B38" s="2128" t="s">
        <v>713</v>
      </c>
      <c r="C38" s="2231" t="s">
        <v>707</v>
      </c>
      <c r="D38" s="1156"/>
      <c r="E38" s="2206" t="s">
        <v>829</v>
      </c>
      <c r="F38" s="1150"/>
      <c r="G38" s="2232">
        <v>1687952.76</v>
      </c>
      <c r="H38" s="2209">
        <f>G38</f>
        <v>1687952.76</v>
      </c>
      <c r="I38" s="2209">
        <f>J38</f>
        <v>382565.74048162409</v>
      </c>
      <c r="J38" s="2209">
        <f>K38*0.414561030583245</f>
        <v>382565.74048162409</v>
      </c>
      <c r="K38" s="2209">
        <f>H38/1.82912206116649</f>
        <v>922821.27903675172</v>
      </c>
      <c r="L38" s="2227"/>
      <c r="M38" s="2200" t="s">
        <v>90</v>
      </c>
      <c r="N38" s="2200" t="s">
        <v>91</v>
      </c>
      <c r="O38" s="549" t="s">
        <v>92</v>
      </c>
      <c r="P38" s="550">
        <f>Q38-7</f>
        <v>44137</v>
      </c>
      <c r="Q38" s="551">
        <f>R38-7</f>
        <v>44144</v>
      </c>
      <c r="R38" s="552">
        <v>44151</v>
      </c>
      <c r="S38" s="552">
        <f>R38+15</f>
        <v>44166</v>
      </c>
      <c r="T38" s="552">
        <f>S38+7</f>
        <v>44173</v>
      </c>
      <c r="U38" s="552">
        <f>T38+7</f>
        <v>44180</v>
      </c>
      <c r="V38" s="619"/>
      <c r="W38" s="552">
        <f>U38+7</f>
        <v>44187</v>
      </c>
      <c r="X38" s="553">
        <f>W38+7</f>
        <v>44194</v>
      </c>
      <c r="Y38" s="554">
        <f>X38+7</f>
        <v>44201</v>
      </c>
      <c r="Z38" s="554">
        <f>Y38+150</f>
        <v>44351</v>
      </c>
      <c r="AA38" s="554">
        <f>Z38+365</f>
        <v>44716</v>
      </c>
      <c r="AB38" s="620"/>
      <c r="AC38" s="583">
        <f t="shared" si="1"/>
        <v>1687952.76</v>
      </c>
      <c r="AD38" s="583">
        <f t="shared" si="2"/>
        <v>50638.582799999996</v>
      </c>
      <c r="AE38" s="608">
        <v>8</v>
      </c>
      <c r="AF38" s="610">
        <f t="shared" si="0"/>
        <v>1637314.1772</v>
      </c>
      <c r="AG38" s="611">
        <f t="shared" si="3"/>
        <v>1687952.76</v>
      </c>
      <c r="AH38" s="609">
        <v>4</v>
      </c>
      <c r="AI38" s="583">
        <f t="shared" si="4"/>
        <v>1687952.76</v>
      </c>
      <c r="AJ38" s="583">
        <f t="shared" si="5"/>
        <v>42198.819000000003</v>
      </c>
      <c r="AK38" s="583">
        <f t="shared" si="6"/>
        <v>1645753.9410000001</v>
      </c>
    </row>
    <row r="39" spans="1:37" x14ac:dyDescent="0.25">
      <c r="A39" s="2230"/>
      <c r="B39" s="2129"/>
      <c r="C39" s="2231"/>
      <c r="D39" s="1156">
        <v>1260</v>
      </c>
      <c r="E39" s="2207"/>
      <c r="F39" s="1151"/>
      <c r="G39" s="2233"/>
      <c r="H39" s="2210"/>
      <c r="I39" s="2210"/>
      <c r="J39" s="2210"/>
      <c r="K39" s="2210"/>
      <c r="L39" s="2228"/>
      <c r="M39" s="2201"/>
      <c r="N39" s="2201"/>
      <c r="O39" s="549" t="s">
        <v>93</v>
      </c>
      <c r="P39" s="555"/>
      <c r="Q39" s="556"/>
      <c r="R39" s="555"/>
      <c r="S39" s="555"/>
      <c r="T39" s="555"/>
      <c r="U39" s="556"/>
      <c r="V39" s="621"/>
      <c r="W39" s="557"/>
      <c r="X39" s="558"/>
      <c r="Y39" s="559"/>
      <c r="Z39" s="568"/>
      <c r="AA39" s="559"/>
      <c r="AB39" s="622"/>
      <c r="AC39" s="583">
        <f t="shared" si="1"/>
        <v>0</v>
      </c>
      <c r="AD39" s="583">
        <f t="shared" si="2"/>
        <v>0</v>
      </c>
      <c r="AE39" s="608"/>
      <c r="AF39" s="610">
        <f t="shared" si="0"/>
        <v>0</v>
      </c>
      <c r="AG39" s="611">
        <f t="shared" si="3"/>
        <v>0</v>
      </c>
      <c r="AH39" s="609"/>
      <c r="AI39" s="583">
        <f t="shared" si="4"/>
        <v>0</v>
      </c>
      <c r="AJ39" s="583">
        <f t="shared" si="5"/>
        <v>0</v>
      </c>
      <c r="AK39" s="583">
        <f t="shared" si="6"/>
        <v>0</v>
      </c>
    </row>
    <row r="40" spans="1:37" x14ac:dyDescent="0.25">
      <c r="A40" s="2230"/>
      <c r="B40" s="2130"/>
      <c r="C40" s="2231"/>
      <c r="D40" s="1156"/>
      <c r="E40" s="2208"/>
      <c r="F40" s="1152"/>
      <c r="G40" s="2234"/>
      <c r="H40" s="2211"/>
      <c r="I40" s="2211"/>
      <c r="J40" s="2211"/>
      <c r="K40" s="2211"/>
      <c r="L40" s="2229"/>
      <c r="M40" s="2202"/>
      <c r="N40" s="2202"/>
      <c r="O40" s="549" t="s">
        <v>94</v>
      </c>
      <c r="P40" s="560"/>
      <c r="Q40" s="561"/>
      <c r="R40" s="557"/>
      <c r="S40" s="557"/>
      <c r="T40" s="562"/>
      <c r="U40" s="562"/>
      <c r="V40" s="623"/>
      <c r="W40" s="562"/>
      <c r="X40" s="558"/>
      <c r="Y40" s="559"/>
      <c r="AB40" s="622"/>
      <c r="AC40" s="583">
        <f t="shared" si="1"/>
        <v>0</v>
      </c>
      <c r="AD40" s="583">
        <f t="shared" si="2"/>
        <v>0</v>
      </c>
      <c r="AE40" s="608"/>
      <c r="AF40" s="610">
        <f t="shared" si="0"/>
        <v>0</v>
      </c>
      <c r="AG40" s="611">
        <f t="shared" si="3"/>
        <v>0</v>
      </c>
      <c r="AH40" s="609"/>
      <c r="AI40" s="583">
        <f t="shared" si="4"/>
        <v>0</v>
      </c>
      <c r="AJ40" s="583">
        <f t="shared" si="5"/>
        <v>0</v>
      </c>
      <c r="AK40" s="583">
        <f t="shared" si="6"/>
        <v>0</v>
      </c>
    </row>
    <row r="41" spans="1:37" ht="13.8" customHeight="1" x14ac:dyDescent="0.25">
      <c r="A41" s="2230">
        <v>10</v>
      </c>
      <c r="B41" s="2128" t="s">
        <v>714</v>
      </c>
      <c r="C41" s="2231" t="s">
        <v>707</v>
      </c>
      <c r="D41" s="1156"/>
      <c r="E41" s="2206" t="s">
        <v>830</v>
      </c>
      <c r="F41" s="1150"/>
      <c r="G41" s="2232">
        <v>2644387.71</v>
      </c>
      <c r="H41" s="2209">
        <f>G41</f>
        <v>2644387.71</v>
      </c>
      <c r="I41" s="2209">
        <f>J41</f>
        <v>599336.76247945242</v>
      </c>
      <c r="J41" s="2209">
        <f>K41*0.414561030583245</f>
        <v>599336.76247945242</v>
      </c>
      <c r="K41" s="2209">
        <f>H41/1.82912206116649</f>
        <v>1445714.1850410949</v>
      </c>
      <c r="L41" s="2227"/>
      <c r="M41" s="2200" t="s">
        <v>90</v>
      </c>
      <c r="N41" s="2200" t="s">
        <v>91</v>
      </c>
      <c r="O41" s="549" t="s">
        <v>92</v>
      </c>
      <c r="P41" s="550">
        <f>Q41-7</f>
        <v>44137</v>
      </c>
      <c r="Q41" s="551">
        <f>R41-7</f>
        <v>44144</v>
      </c>
      <c r="R41" s="552">
        <v>44151</v>
      </c>
      <c r="S41" s="552">
        <f>R41+15</f>
        <v>44166</v>
      </c>
      <c r="T41" s="552">
        <f>S41+7</f>
        <v>44173</v>
      </c>
      <c r="U41" s="552">
        <f>T41+7</f>
        <v>44180</v>
      </c>
      <c r="V41" s="619"/>
      <c r="W41" s="552">
        <f>U41+7</f>
        <v>44187</v>
      </c>
      <c r="X41" s="553">
        <f>W41+7</f>
        <v>44194</v>
      </c>
      <c r="Y41" s="554">
        <f>X41+7</f>
        <v>44201</v>
      </c>
      <c r="Z41" s="554">
        <f>Y41+150</f>
        <v>44351</v>
      </c>
      <c r="AA41" s="554">
        <f>Z41+365</f>
        <v>44716</v>
      </c>
      <c r="AB41" s="620"/>
      <c r="AC41" s="583">
        <f t="shared" si="1"/>
        <v>2644387.71</v>
      </c>
      <c r="AD41" s="583">
        <f t="shared" si="2"/>
        <v>79331.631299999994</v>
      </c>
      <c r="AE41" s="608">
        <v>9</v>
      </c>
      <c r="AF41" s="610">
        <f t="shared" si="0"/>
        <v>2565056.0787</v>
      </c>
      <c r="AG41" s="611">
        <f t="shared" si="3"/>
        <v>2644387.71</v>
      </c>
      <c r="AH41" s="609">
        <v>5</v>
      </c>
      <c r="AI41" s="583">
        <f t="shared" si="4"/>
        <v>2644387.71</v>
      </c>
      <c r="AJ41" s="583">
        <f t="shared" si="5"/>
        <v>66109.692750000002</v>
      </c>
      <c r="AK41" s="583">
        <f t="shared" si="6"/>
        <v>2578278.01725</v>
      </c>
    </row>
    <row r="42" spans="1:37" x14ac:dyDescent="0.25">
      <c r="A42" s="2230"/>
      <c r="B42" s="2129"/>
      <c r="C42" s="2231"/>
      <c r="D42" s="1156">
        <v>1890</v>
      </c>
      <c r="E42" s="2207"/>
      <c r="F42" s="1151"/>
      <c r="G42" s="2233"/>
      <c r="H42" s="2210"/>
      <c r="I42" s="2210"/>
      <c r="J42" s="2210"/>
      <c r="K42" s="2210"/>
      <c r="L42" s="2228"/>
      <c r="M42" s="2201"/>
      <c r="N42" s="2201"/>
      <c r="O42" s="549" t="s">
        <v>93</v>
      </c>
      <c r="P42" s="555"/>
      <c r="Q42" s="556"/>
      <c r="R42" s="555"/>
      <c r="S42" s="555"/>
      <c r="T42" s="555"/>
      <c r="U42" s="556"/>
      <c r="V42" s="621"/>
      <c r="W42" s="557"/>
      <c r="X42" s="558"/>
      <c r="Y42" s="559"/>
      <c r="Z42" s="568"/>
      <c r="AA42" s="559"/>
      <c r="AB42" s="622"/>
      <c r="AC42" s="583">
        <f t="shared" si="1"/>
        <v>0</v>
      </c>
      <c r="AD42" s="583">
        <f t="shared" si="2"/>
        <v>0</v>
      </c>
      <c r="AE42" s="608"/>
      <c r="AF42" s="610">
        <f t="shared" si="0"/>
        <v>0</v>
      </c>
      <c r="AG42" s="611">
        <f t="shared" si="3"/>
        <v>0</v>
      </c>
      <c r="AH42" s="609"/>
      <c r="AI42" s="583">
        <f t="shared" si="4"/>
        <v>0</v>
      </c>
      <c r="AJ42" s="583">
        <f t="shared" si="5"/>
        <v>0</v>
      </c>
      <c r="AK42" s="583">
        <f t="shared" si="6"/>
        <v>0</v>
      </c>
    </row>
    <row r="43" spans="1:37" ht="13.8" customHeight="1" x14ac:dyDescent="0.25">
      <c r="A43" s="2230"/>
      <c r="B43" s="2130"/>
      <c r="C43" s="2231"/>
      <c r="D43" s="1156"/>
      <c r="E43" s="2208"/>
      <c r="F43" s="1152"/>
      <c r="G43" s="2234"/>
      <c r="H43" s="2211"/>
      <c r="I43" s="2211"/>
      <c r="J43" s="2211"/>
      <c r="K43" s="2211"/>
      <c r="L43" s="2229"/>
      <c r="M43" s="2202"/>
      <c r="N43" s="2202"/>
      <c r="O43" s="549" t="s">
        <v>94</v>
      </c>
      <c r="P43" s="560"/>
      <c r="Q43" s="561"/>
      <c r="R43" s="557"/>
      <c r="S43" s="557"/>
      <c r="T43" s="562"/>
      <c r="U43" s="562"/>
      <c r="V43" s="623"/>
      <c r="W43" s="562"/>
      <c r="X43" s="558"/>
      <c r="Y43" s="559"/>
      <c r="AB43" s="622"/>
      <c r="AC43" s="583">
        <f t="shared" si="1"/>
        <v>0</v>
      </c>
      <c r="AD43" s="583">
        <f t="shared" si="2"/>
        <v>0</v>
      </c>
      <c r="AE43" s="608"/>
      <c r="AF43" s="610">
        <f t="shared" si="0"/>
        <v>0</v>
      </c>
      <c r="AG43" s="611">
        <f t="shared" si="3"/>
        <v>0</v>
      </c>
      <c r="AH43" s="609"/>
      <c r="AI43" s="583">
        <f t="shared" si="4"/>
        <v>0</v>
      </c>
      <c r="AJ43" s="583">
        <f t="shared" si="5"/>
        <v>0</v>
      </c>
      <c r="AK43" s="583">
        <f t="shared" si="6"/>
        <v>0</v>
      </c>
    </row>
    <row r="44" spans="1:37" ht="13.8" customHeight="1" x14ac:dyDescent="0.25">
      <c r="A44" s="2230">
        <v>11</v>
      </c>
      <c r="B44" s="2128" t="s">
        <v>715</v>
      </c>
      <c r="C44" s="2231" t="s">
        <v>707</v>
      </c>
      <c r="D44" s="1156"/>
      <c r="E44" s="2206" t="s">
        <v>831</v>
      </c>
      <c r="F44" s="1150"/>
      <c r="G44" s="2232">
        <v>2943135.74</v>
      </c>
      <c r="H44" s="2209">
        <f>G44</f>
        <v>2943135.74</v>
      </c>
      <c r="I44" s="2209">
        <f>J44</f>
        <v>667046.45437531837</v>
      </c>
      <c r="J44" s="2209">
        <f>K44*0.414561030583245</f>
        <v>667046.45437531837</v>
      </c>
      <c r="K44" s="2209">
        <f>H44/1.82912206116649</f>
        <v>1609042.8312493633</v>
      </c>
      <c r="L44" s="2227"/>
      <c r="M44" s="2200" t="s">
        <v>90</v>
      </c>
      <c r="N44" s="2200" t="s">
        <v>91</v>
      </c>
      <c r="O44" s="549" t="s">
        <v>92</v>
      </c>
      <c r="P44" s="550">
        <f>Q44-7</f>
        <v>44137</v>
      </c>
      <c r="Q44" s="551">
        <f>R44-7</f>
        <v>44144</v>
      </c>
      <c r="R44" s="552">
        <v>44151</v>
      </c>
      <c r="S44" s="552">
        <f>R44+15</f>
        <v>44166</v>
      </c>
      <c r="T44" s="552">
        <f>S44+7</f>
        <v>44173</v>
      </c>
      <c r="U44" s="552">
        <f>T44+7</f>
        <v>44180</v>
      </c>
      <c r="V44" s="619"/>
      <c r="W44" s="552">
        <f>U44+7</f>
        <v>44187</v>
      </c>
      <c r="X44" s="553">
        <f>W44+7</f>
        <v>44194</v>
      </c>
      <c r="Y44" s="554">
        <f>X44+7</f>
        <v>44201</v>
      </c>
      <c r="Z44" s="554">
        <f>Y44+150</f>
        <v>44351</v>
      </c>
      <c r="AA44" s="554">
        <f>Z44+365</f>
        <v>44716</v>
      </c>
      <c r="AB44" s="620"/>
      <c r="AC44" s="583">
        <f t="shared" si="1"/>
        <v>2943135.74</v>
      </c>
      <c r="AD44" s="583">
        <f t="shared" si="2"/>
        <v>88294.07220000001</v>
      </c>
      <c r="AE44" s="608">
        <v>10</v>
      </c>
      <c r="AF44" s="610">
        <f t="shared" si="0"/>
        <v>2854841.6678000004</v>
      </c>
      <c r="AG44" s="611">
        <f t="shared" si="3"/>
        <v>2943135.74</v>
      </c>
      <c r="AH44" s="609">
        <v>3</v>
      </c>
      <c r="AI44" s="583">
        <f t="shared" si="4"/>
        <v>2943135.74</v>
      </c>
      <c r="AJ44" s="583">
        <f t="shared" si="5"/>
        <v>73578.393500000006</v>
      </c>
      <c r="AK44" s="583">
        <f t="shared" si="6"/>
        <v>2869557.3465</v>
      </c>
    </row>
    <row r="45" spans="1:37" x14ac:dyDescent="0.25">
      <c r="A45" s="2230"/>
      <c r="B45" s="2129"/>
      <c r="C45" s="2231"/>
      <c r="D45" s="1156">
        <v>2240</v>
      </c>
      <c r="E45" s="2207"/>
      <c r="F45" s="1151"/>
      <c r="G45" s="2233"/>
      <c r="H45" s="2210"/>
      <c r="I45" s="2210"/>
      <c r="J45" s="2210"/>
      <c r="K45" s="2210"/>
      <c r="L45" s="2228"/>
      <c r="M45" s="2201"/>
      <c r="N45" s="2201"/>
      <c r="O45" s="549" t="s">
        <v>93</v>
      </c>
      <c r="P45" s="555"/>
      <c r="Q45" s="556"/>
      <c r="R45" s="555"/>
      <c r="S45" s="555"/>
      <c r="T45" s="555"/>
      <c r="U45" s="556"/>
      <c r="V45" s="621"/>
      <c r="W45" s="557"/>
      <c r="X45" s="558"/>
      <c r="Y45" s="559"/>
      <c r="Z45" s="568"/>
      <c r="AA45" s="559"/>
      <c r="AB45" s="622"/>
      <c r="AC45" s="583">
        <f t="shared" si="1"/>
        <v>0</v>
      </c>
      <c r="AD45" s="583">
        <f t="shared" si="2"/>
        <v>0</v>
      </c>
      <c r="AE45" s="608"/>
      <c r="AF45" s="610">
        <f t="shared" si="0"/>
        <v>0</v>
      </c>
      <c r="AG45" s="611">
        <f t="shared" si="3"/>
        <v>0</v>
      </c>
      <c r="AH45" s="609"/>
      <c r="AI45" s="583">
        <f t="shared" si="4"/>
        <v>0</v>
      </c>
      <c r="AJ45" s="583">
        <f t="shared" si="5"/>
        <v>0</v>
      </c>
      <c r="AK45" s="583">
        <f t="shared" si="6"/>
        <v>0</v>
      </c>
    </row>
    <row r="46" spans="1:37" ht="21" customHeight="1" x14ac:dyDescent="0.25">
      <c r="A46" s="2230"/>
      <c r="B46" s="2130"/>
      <c r="C46" s="2231"/>
      <c r="D46" s="1156"/>
      <c r="E46" s="2208"/>
      <c r="F46" s="1152"/>
      <c r="G46" s="2234"/>
      <c r="H46" s="2211"/>
      <c r="I46" s="2211"/>
      <c r="J46" s="2211"/>
      <c r="K46" s="2211"/>
      <c r="L46" s="2229"/>
      <c r="M46" s="2202"/>
      <c r="N46" s="2202"/>
      <c r="O46" s="549" t="s">
        <v>94</v>
      </c>
      <c r="P46" s="560"/>
      <c r="Q46" s="561"/>
      <c r="R46" s="557"/>
      <c r="S46" s="557"/>
      <c r="T46" s="562"/>
      <c r="U46" s="562"/>
      <c r="V46" s="623"/>
      <c r="W46" s="562"/>
      <c r="X46" s="558"/>
      <c r="Y46" s="559"/>
      <c r="AB46" s="622"/>
      <c r="AC46" s="583">
        <f t="shared" si="1"/>
        <v>0</v>
      </c>
      <c r="AD46" s="583">
        <f t="shared" si="2"/>
        <v>0</v>
      </c>
      <c r="AE46" s="608"/>
      <c r="AF46" s="610">
        <f t="shared" si="0"/>
        <v>0</v>
      </c>
      <c r="AG46" s="611">
        <f t="shared" si="3"/>
        <v>0</v>
      </c>
      <c r="AH46" s="609"/>
      <c r="AI46" s="583">
        <f t="shared" si="4"/>
        <v>0</v>
      </c>
      <c r="AJ46" s="583">
        <f t="shared" si="5"/>
        <v>0</v>
      </c>
      <c r="AK46" s="583">
        <f t="shared" si="6"/>
        <v>0</v>
      </c>
    </row>
    <row r="47" spans="1:37" ht="13.8" customHeight="1" x14ac:dyDescent="0.25">
      <c r="A47" s="2230">
        <v>12</v>
      </c>
      <c r="B47" s="2128" t="s">
        <v>716</v>
      </c>
      <c r="C47" s="2231" t="s">
        <v>707</v>
      </c>
      <c r="D47" s="1156"/>
      <c r="E47" s="2206" t="s">
        <v>832</v>
      </c>
      <c r="F47" s="1150"/>
      <c r="G47" s="2232">
        <v>2723883.57</v>
      </c>
      <c r="H47" s="2209">
        <f>G47</f>
        <v>2723883.57</v>
      </c>
      <c r="I47" s="2209">
        <f>J47</f>
        <v>617354.08693711297</v>
      </c>
      <c r="J47" s="2209">
        <f>K47*0.414561030583245</f>
        <v>617354.08693711297</v>
      </c>
      <c r="K47" s="2209">
        <f>H47/1.82912206116649</f>
        <v>1489175.3961257739</v>
      </c>
      <c r="L47" s="2227"/>
      <c r="M47" s="2200" t="s">
        <v>90</v>
      </c>
      <c r="N47" s="2200" t="s">
        <v>91</v>
      </c>
      <c r="O47" s="549" t="s">
        <v>92</v>
      </c>
      <c r="P47" s="550">
        <f>Q47-7</f>
        <v>44137</v>
      </c>
      <c r="Q47" s="551">
        <f>R47-7</f>
        <v>44144</v>
      </c>
      <c r="R47" s="552">
        <v>44151</v>
      </c>
      <c r="S47" s="552">
        <f>R47+15</f>
        <v>44166</v>
      </c>
      <c r="T47" s="552">
        <f>S47+7</f>
        <v>44173</v>
      </c>
      <c r="U47" s="552">
        <f>T47+7</f>
        <v>44180</v>
      </c>
      <c r="V47" s="619"/>
      <c r="W47" s="552">
        <f>U47+7</f>
        <v>44187</v>
      </c>
      <c r="X47" s="553">
        <f>W47+7</f>
        <v>44194</v>
      </c>
      <c r="Y47" s="554">
        <f>X47+7</f>
        <v>44201</v>
      </c>
      <c r="Z47" s="554">
        <f>Y47+150</f>
        <v>44351</v>
      </c>
      <c r="AA47" s="554">
        <f>Z47+365</f>
        <v>44716</v>
      </c>
      <c r="AB47" s="620"/>
      <c r="AC47" s="583">
        <f t="shared" si="1"/>
        <v>2723883.57</v>
      </c>
      <c r="AD47" s="583">
        <f t="shared" si="2"/>
        <v>81716.507099999988</v>
      </c>
      <c r="AE47" s="608">
        <v>11</v>
      </c>
      <c r="AF47" s="610">
        <f>AC47-AD47</f>
        <v>2642167.0628999998</v>
      </c>
      <c r="AG47" s="611">
        <f t="shared" si="3"/>
        <v>2723883.57</v>
      </c>
      <c r="AH47" s="609">
        <v>4</v>
      </c>
      <c r="AI47" s="583">
        <f t="shared" si="4"/>
        <v>2723883.57</v>
      </c>
      <c r="AJ47" s="583">
        <f t="shared" si="5"/>
        <v>68097.089250000005</v>
      </c>
      <c r="AK47" s="583">
        <f t="shared" si="6"/>
        <v>2655786.4807499996</v>
      </c>
    </row>
    <row r="48" spans="1:37" x14ac:dyDescent="0.25">
      <c r="A48" s="2230"/>
      <c r="B48" s="2129"/>
      <c r="C48" s="2231"/>
      <c r="D48" s="1156">
        <v>2310</v>
      </c>
      <c r="E48" s="2207"/>
      <c r="F48" s="1151"/>
      <c r="G48" s="2233"/>
      <c r="H48" s="2210"/>
      <c r="I48" s="2210"/>
      <c r="J48" s="2210"/>
      <c r="K48" s="2210"/>
      <c r="L48" s="2228"/>
      <c r="M48" s="2201"/>
      <c r="N48" s="2201"/>
      <c r="O48" s="549" t="s">
        <v>93</v>
      </c>
      <c r="P48" s="555"/>
      <c r="Q48" s="556"/>
      <c r="R48" s="555"/>
      <c r="S48" s="555"/>
      <c r="T48" s="555"/>
      <c r="U48" s="556"/>
      <c r="V48" s="621"/>
      <c r="W48" s="557"/>
      <c r="X48" s="558"/>
      <c r="Y48" s="559"/>
      <c r="Z48" s="568"/>
      <c r="AA48" s="559"/>
      <c r="AB48" s="622"/>
      <c r="AC48" s="583">
        <f t="shared" si="1"/>
        <v>0</v>
      </c>
      <c r="AD48" s="583">
        <f t="shared" si="2"/>
        <v>0</v>
      </c>
      <c r="AE48" s="608"/>
      <c r="AF48" s="610">
        <f t="shared" si="0"/>
        <v>0</v>
      </c>
      <c r="AG48" s="611">
        <f t="shared" si="3"/>
        <v>0</v>
      </c>
      <c r="AH48" s="609"/>
      <c r="AI48" s="583">
        <f t="shared" si="4"/>
        <v>0</v>
      </c>
      <c r="AJ48" s="583">
        <f t="shared" si="5"/>
        <v>0</v>
      </c>
      <c r="AK48" s="583">
        <f t="shared" si="6"/>
        <v>0</v>
      </c>
    </row>
    <row r="49" spans="1:37" ht="22.8" customHeight="1" x14ac:dyDescent="0.25">
      <c r="A49" s="2230"/>
      <c r="B49" s="2130"/>
      <c r="C49" s="2231"/>
      <c r="D49" s="1156"/>
      <c r="E49" s="2208"/>
      <c r="F49" s="1152"/>
      <c r="G49" s="2234"/>
      <c r="H49" s="2211"/>
      <c r="I49" s="2211"/>
      <c r="J49" s="2211"/>
      <c r="K49" s="2211"/>
      <c r="L49" s="2229"/>
      <c r="M49" s="2202"/>
      <c r="N49" s="2202"/>
      <c r="O49" s="549" t="s">
        <v>94</v>
      </c>
      <c r="P49" s="560"/>
      <c r="Q49" s="561"/>
      <c r="R49" s="557"/>
      <c r="S49" s="557"/>
      <c r="T49" s="562"/>
      <c r="U49" s="562"/>
      <c r="V49" s="623"/>
      <c r="W49" s="562"/>
      <c r="X49" s="558"/>
      <c r="Y49" s="559"/>
      <c r="AB49" s="622"/>
      <c r="AC49" s="583">
        <f t="shared" si="1"/>
        <v>0</v>
      </c>
      <c r="AD49" s="583">
        <f t="shared" si="2"/>
        <v>0</v>
      </c>
      <c r="AE49" s="608"/>
      <c r="AF49" s="610">
        <f t="shared" si="0"/>
        <v>0</v>
      </c>
      <c r="AG49" s="611">
        <f t="shared" si="3"/>
        <v>0</v>
      </c>
      <c r="AH49" s="609"/>
      <c r="AI49" s="583">
        <f t="shared" si="4"/>
        <v>0</v>
      </c>
      <c r="AJ49" s="583">
        <f t="shared" si="5"/>
        <v>0</v>
      </c>
      <c r="AK49" s="583">
        <f t="shared" si="6"/>
        <v>0</v>
      </c>
    </row>
    <row r="50" spans="1:37" ht="13.8" customHeight="1" x14ac:dyDescent="0.25">
      <c r="A50" s="2230">
        <v>13</v>
      </c>
      <c r="B50" s="2128" t="s">
        <v>717</v>
      </c>
      <c r="C50" s="2231" t="s">
        <v>707</v>
      </c>
      <c r="D50" s="1156"/>
      <c r="E50" s="2206" t="s">
        <v>833</v>
      </c>
      <c r="F50" s="1150"/>
      <c r="G50" s="2232">
        <v>3304230.95</v>
      </c>
      <c r="H50" s="2209">
        <f>G50</f>
        <v>3304230.95</v>
      </c>
      <c r="I50" s="2209">
        <f>J50</f>
        <v>748886.81132820947</v>
      </c>
      <c r="J50" s="2209">
        <f>K50*0.414561030583245</f>
        <v>748886.81132820947</v>
      </c>
      <c r="K50" s="2209">
        <f>H50/1.82912206116649</f>
        <v>1806457.3273435812</v>
      </c>
      <c r="L50" s="2227"/>
      <c r="M50" s="2200" t="s">
        <v>90</v>
      </c>
      <c r="N50" s="2200" t="s">
        <v>91</v>
      </c>
      <c r="O50" s="549" t="s">
        <v>92</v>
      </c>
      <c r="P50" s="550">
        <f>Q50-7</f>
        <v>44137</v>
      </c>
      <c r="Q50" s="551">
        <f>R50-7</f>
        <v>44144</v>
      </c>
      <c r="R50" s="552">
        <v>44151</v>
      </c>
      <c r="S50" s="552">
        <f>R50+15</f>
        <v>44166</v>
      </c>
      <c r="T50" s="552">
        <f>S50+7</f>
        <v>44173</v>
      </c>
      <c r="U50" s="552">
        <f>T50+7</f>
        <v>44180</v>
      </c>
      <c r="V50" s="619"/>
      <c r="W50" s="552">
        <f>U50+7</f>
        <v>44187</v>
      </c>
      <c r="X50" s="553">
        <f>W50+7</f>
        <v>44194</v>
      </c>
      <c r="Y50" s="554">
        <f>X50+7</f>
        <v>44201</v>
      </c>
      <c r="Z50" s="554">
        <f>Y50+150</f>
        <v>44351</v>
      </c>
      <c r="AA50" s="554">
        <f>Z50+365</f>
        <v>44716</v>
      </c>
      <c r="AB50" s="620"/>
      <c r="AC50" s="583">
        <f t="shared" si="1"/>
        <v>3304230.95</v>
      </c>
      <c r="AD50" s="583">
        <f t="shared" si="2"/>
        <v>99126.928500000009</v>
      </c>
      <c r="AE50" s="608">
        <v>12</v>
      </c>
      <c r="AF50" s="610">
        <f t="shared" si="0"/>
        <v>3205104.0215000003</v>
      </c>
      <c r="AG50" s="611">
        <f t="shared" si="3"/>
        <v>3304230.95</v>
      </c>
      <c r="AH50" s="609">
        <v>5</v>
      </c>
      <c r="AI50" s="583">
        <f t="shared" si="4"/>
        <v>3304230.95</v>
      </c>
      <c r="AJ50" s="583">
        <f>AI50*0.025</f>
        <v>82605.773750000008</v>
      </c>
      <c r="AK50" s="583">
        <f t="shared" si="6"/>
        <v>3221625.17625</v>
      </c>
    </row>
    <row r="51" spans="1:37" x14ac:dyDescent="0.25">
      <c r="A51" s="2230"/>
      <c r="B51" s="2129"/>
      <c r="C51" s="2231"/>
      <c r="D51" s="1156">
        <v>2590</v>
      </c>
      <c r="E51" s="2207"/>
      <c r="F51" s="1151"/>
      <c r="G51" s="2233"/>
      <c r="H51" s="2210"/>
      <c r="I51" s="2210"/>
      <c r="J51" s="2210"/>
      <c r="K51" s="2210"/>
      <c r="L51" s="2228"/>
      <c r="M51" s="2201"/>
      <c r="N51" s="2201"/>
      <c r="O51" s="549" t="s">
        <v>93</v>
      </c>
      <c r="P51" s="555"/>
      <c r="Q51" s="556"/>
      <c r="R51" s="555"/>
      <c r="S51" s="555"/>
      <c r="T51" s="555"/>
      <c r="U51" s="556"/>
      <c r="V51" s="621"/>
      <c r="W51" s="557"/>
      <c r="X51" s="558"/>
      <c r="Y51" s="559"/>
      <c r="Z51" s="568"/>
      <c r="AA51" s="559"/>
      <c r="AB51" s="622"/>
      <c r="AC51" s="583">
        <f t="shared" si="1"/>
        <v>0</v>
      </c>
      <c r="AD51" s="583">
        <f t="shared" si="2"/>
        <v>0</v>
      </c>
      <c r="AE51" s="608"/>
      <c r="AF51" s="610">
        <f t="shared" si="0"/>
        <v>0</v>
      </c>
      <c r="AG51" s="611">
        <f t="shared" si="3"/>
        <v>0</v>
      </c>
      <c r="AH51" s="609"/>
      <c r="AI51" s="583">
        <f t="shared" si="4"/>
        <v>0</v>
      </c>
      <c r="AJ51" s="583">
        <f t="shared" si="5"/>
        <v>0</v>
      </c>
      <c r="AK51" s="583">
        <f t="shared" si="6"/>
        <v>0</v>
      </c>
    </row>
    <row r="52" spans="1:37" ht="41.4" customHeight="1" x14ac:dyDescent="0.25">
      <c r="A52" s="2230"/>
      <c r="B52" s="2130"/>
      <c r="C52" s="2231"/>
      <c r="D52" s="1156"/>
      <c r="E52" s="2208"/>
      <c r="F52" s="1152"/>
      <c r="G52" s="2234"/>
      <c r="H52" s="2211"/>
      <c r="I52" s="2211"/>
      <c r="J52" s="2211"/>
      <c r="K52" s="2211"/>
      <c r="L52" s="2229"/>
      <c r="M52" s="2202"/>
      <c r="N52" s="2202"/>
      <c r="O52" s="549" t="s">
        <v>94</v>
      </c>
      <c r="P52" s="560"/>
      <c r="Q52" s="561"/>
      <c r="R52" s="557"/>
      <c r="S52" s="557"/>
      <c r="T52" s="562"/>
      <c r="U52" s="562"/>
      <c r="V52" s="623"/>
      <c r="W52" s="562"/>
      <c r="X52" s="558"/>
      <c r="Y52" s="559"/>
      <c r="AB52" s="622"/>
      <c r="AC52" s="583">
        <f t="shared" si="1"/>
        <v>0</v>
      </c>
      <c r="AD52" s="583">
        <f t="shared" si="2"/>
        <v>0</v>
      </c>
      <c r="AE52" s="608"/>
      <c r="AF52" s="610">
        <f t="shared" si="0"/>
        <v>0</v>
      </c>
      <c r="AG52" s="611">
        <f t="shared" si="3"/>
        <v>0</v>
      </c>
      <c r="AH52" s="609"/>
      <c r="AI52" s="583">
        <f t="shared" si="4"/>
        <v>0</v>
      </c>
      <c r="AJ52" s="583">
        <f t="shared" si="5"/>
        <v>0</v>
      </c>
      <c r="AK52" s="583">
        <f t="shared" si="6"/>
        <v>0</v>
      </c>
    </row>
    <row r="53" spans="1:37" ht="13.8" customHeight="1" x14ac:dyDescent="0.25">
      <c r="A53" s="2230">
        <v>14</v>
      </c>
      <c r="B53" s="2128" t="s">
        <v>718</v>
      </c>
      <c r="C53" s="2231" t="s">
        <v>707</v>
      </c>
      <c r="D53" s="1156"/>
      <c r="E53" s="2206" t="s">
        <v>834</v>
      </c>
      <c r="F53" s="1150"/>
      <c r="G53" s="2232">
        <v>2682562.0499999998</v>
      </c>
      <c r="H53" s="2209">
        <f>G53</f>
        <v>2682562.0499999998</v>
      </c>
      <c r="I53" s="2209">
        <f>J53</f>
        <v>607988.77869434783</v>
      </c>
      <c r="J53" s="2209">
        <f>K53*0.414561030583245</f>
        <v>607988.77869434783</v>
      </c>
      <c r="K53" s="2209">
        <f>H53/1.82912206116649</f>
        <v>1466584.4926113044</v>
      </c>
      <c r="L53" s="2227"/>
      <c r="M53" s="2200" t="s">
        <v>90</v>
      </c>
      <c r="N53" s="2200" t="s">
        <v>91</v>
      </c>
      <c r="O53" s="549" t="s">
        <v>92</v>
      </c>
      <c r="P53" s="550">
        <f>Q53-7</f>
        <v>44137</v>
      </c>
      <c r="Q53" s="551">
        <f>R53-7</f>
        <v>44144</v>
      </c>
      <c r="R53" s="552">
        <v>44151</v>
      </c>
      <c r="S53" s="552">
        <f>R53+15</f>
        <v>44166</v>
      </c>
      <c r="T53" s="552">
        <f>S53+7</f>
        <v>44173</v>
      </c>
      <c r="U53" s="552">
        <f>T53+7</f>
        <v>44180</v>
      </c>
      <c r="V53" s="619"/>
      <c r="W53" s="552">
        <f>U53+7</f>
        <v>44187</v>
      </c>
      <c r="X53" s="553">
        <f>W53+7</f>
        <v>44194</v>
      </c>
      <c r="Y53" s="554">
        <f>X53+7</f>
        <v>44201</v>
      </c>
      <c r="Z53" s="554">
        <f>Y53+150</f>
        <v>44351</v>
      </c>
      <c r="AA53" s="554">
        <f>Z53+365</f>
        <v>44716</v>
      </c>
      <c r="AB53" s="620"/>
      <c r="AC53" s="583">
        <f t="shared" si="1"/>
        <v>2682562.0499999998</v>
      </c>
      <c r="AD53" s="583">
        <f t="shared" si="2"/>
        <v>80476.861499999985</v>
      </c>
      <c r="AE53" s="608">
        <v>13</v>
      </c>
      <c r="AF53" s="610">
        <f t="shared" si="0"/>
        <v>2602085.1884999997</v>
      </c>
      <c r="AG53" s="611">
        <f t="shared" si="3"/>
        <v>2682562.0499999998</v>
      </c>
      <c r="AH53" s="609">
        <v>3</v>
      </c>
      <c r="AI53" s="583">
        <f t="shared" si="4"/>
        <v>2682562.0499999998</v>
      </c>
      <c r="AJ53" s="583">
        <f t="shared" si="5"/>
        <v>67064.051250000004</v>
      </c>
      <c r="AK53" s="583">
        <f t="shared" si="6"/>
        <v>2615497.9987499998</v>
      </c>
    </row>
    <row r="54" spans="1:37" x14ac:dyDescent="0.25">
      <c r="A54" s="2230"/>
      <c r="B54" s="2129"/>
      <c r="C54" s="2231"/>
      <c r="D54" s="1156">
        <v>2184</v>
      </c>
      <c r="E54" s="2207"/>
      <c r="F54" s="1151"/>
      <c r="G54" s="2233"/>
      <c r="H54" s="2210"/>
      <c r="I54" s="2210"/>
      <c r="J54" s="2210"/>
      <c r="K54" s="2210"/>
      <c r="L54" s="2228"/>
      <c r="M54" s="2201"/>
      <c r="N54" s="2201"/>
      <c r="O54" s="549" t="s">
        <v>93</v>
      </c>
      <c r="P54" s="555"/>
      <c r="Q54" s="556"/>
      <c r="R54" s="555"/>
      <c r="S54" s="555"/>
      <c r="T54" s="555"/>
      <c r="U54" s="556"/>
      <c r="V54" s="621"/>
      <c r="W54" s="557"/>
      <c r="X54" s="558"/>
      <c r="Y54" s="559"/>
      <c r="Z54" s="568"/>
      <c r="AA54" s="559"/>
      <c r="AB54" s="622"/>
      <c r="AC54" s="583">
        <f t="shared" si="1"/>
        <v>0</v>
      </c>
      <c r="AD54" s="583">
        <f t="shared" si="2"/>
        <v>0</v>
      </c>
      <c r="AE54" s="608"/>
      <c r="AF54" s="610">
        <f t="shared" si="0"/>
        <v>0</v>
      </c>
      <c r="AG54" s="611">
        <f t="shared" si="3"/>
        <v>0</v>
      </c>
      <c r="AH54" s="609"/>
      <c r="AI54" s="583">
        <f t="shared" si="4"/>
        <v>0</v>
      </c>
      <c r="AJ54" s="583">
        <f t="shared" si="5"/>
        <v>0</v>
      </c>
      <c r="AK54" s="583">
        <f t="shared" si="6"/>
        <v>0</v>
      </c>
    </row>
    <row r="55" spans="1:37" x14ac:dyDescent="0.25">
      <c r="A55" s="2230"/>
      <c r="B55" s="2130"/>
      <c r="C55" s="2231"/>
      <c r="D55" s="1156"/>
      <c r="E55" s="2208"/>
      <c r="F55" s="1152"/>
      <c r="G55" s="2234"/>
      <c r="H55" s="2211"/>
      <c r="I55" s="2211"/>
      <c r="J55" s="2211"/>
      <c r="K55" s="2211"/>
      <c r="L55" s="2229"/>
      <c r="M55" s="2202"/>
      <c r="N55" s="2202"/>
      <c r="O55" s="549" t="s">
        <v>94</v>
      </c>
      <c r="P55" s="560"/>
      <c r="Q55" s="561"/>
      <c r="R55" s="557"/>
      <c r="S55" s="557"/>
      <c r="T55" s="562"/>
      <c r="U55" s="562"/>
      <c r="V55" s="623"/>
      <c r="W55" s="562"/>
      <c r="X55" s="558"/>
      <c r="Y55" s="559"/>
      <c r="AB55" s="622"/>
      <c r="AC55" s="583">
        <f t="shared" si="1"/>
        <v>0</v>
      </c>
      <c r="AD55" s="583">
        <f t="shared" si="2"/>
        <v>0</v>
      </c>
      <c r="AE55" s="608"/>
      <c r="AF55" s="610">
        <f t="shared" si="0"/>
        <v>0</v>
      </c>
      <c r="AG55" s="611">
        <f t="shared" si="3"/>
        <v>0</v>
      </c>
      <c r="AH55" s="609"/>
      <c r="AI55" s="583">
        <f t="shared" si="4"/>
        <v>0</v>
      </c>
      <c r="AJ55" s="583">
        <f t="shared" si="5"/>
        <v>0</v>
      </c>
      <c r="AK55" s="583">
        <f t="shared" si="6"/>
        <v>0</v>
      </c>
    </row>
    <row r="56" spans="1:37" ht="13.8" customHeight="1" x14ac:dyDescent="0.25">
      <c r="A56" s="2230">
        <v>15</v>
      </c>
      <c r="B56" s="2128" t="s">
        <v>804</v>
      </c>
      <c r="C56" s="2231" t="s">
        <v>707</v>
      </c>
      <c r="D56" s="1156"/>
      <c r="E56" s="2206" t="s">
        <v>835</v>
      </c>
      <c r="F56" s="1454"/>
      <c r="G56" s="2232">
        <v>1910331.97</v>
      </c>
      <c r="H56" s="2209">
        <f>G56</f>
        <v>1910331.97</v>
      </c>
      <c r="I56" s="2209">
        <f>J56</f>
        <v>432966.83532113169</v>
      </c>
      <c r="J56" s="2209">
        <f>K56*0.414561030583245</f>
        <v>432966.83532113169</v>
      </c>
      <c r="K56" s="2209">
        <f>H56/1.82912206116649</f>
        <v>1044398.2993577366</v>
      </c>
      <c r="L56" s="2227"/>
      <c r="M56" s="2200" t="s">
        <v>90</v>
      </c>
      <c r="N56" s="2200" t="s">
        <v>91</v>
      </c>
      <c r="O56" s="549" t="s">
        <v>92</v>
      </c>
      <c r="P56" s="550">
        <f>Q56-7</f>
        <v>44137</v>
      </c>
      <c r="Q56" s="551">
        <f>R56-7</f>
        <v>44144</v>
      </c>
      <c r="R56" s="552">
        <v>44151</v>
      </c>
      <c r="S56" s="552">
        <f>R56+15</f>
        <v>44166</v>
      </c>
      <c r="T56" s="552">
        <f>S56+7</f>
        <v>44173</v>
      </c>
      <c r="U56" s="552">
        <f>T56+7</f>
        <v>44180</v>
      </c>
      <c r="V56" s="619"/>
      <c r="W56" s="552">
        <f>U56+7</f>
        <v>44187</v>
      </c>
      <c r="X56" s="553">
        <f>W56+7</f>
        <v>44194</v>
      </c>
      <c r="Y56" s="554">
        <f>X56+7</f>
        <v>44201</v>
      </c>
      <c r="Z56" s="554">
        <f>Y56+150</f>
        <v>44351</v>
      </c>
      <c r="AA56" s="554">
        <f>Z56+365</f>
        <v>44716</v>
      </c>
      <c r="AB56" s="620"/>
      <c r="AC56" s="583">
        <f>H56</f>
        <v>1910331.97</v>
      </c>
      <c r="AD56" s="583">
        <f>AC56*0.03</f>
        <v>57309.9591</v>
      </c>
      <c r="AE56" s="608">
        <v>14</v>
      </c>
      <c r="AF56" s="610">
        <f>AC56-AD56</f>
        <v>1853022.0108999999</v>
      </c>
      <c r="AG56" s="611">
        <f>AF56+AD56</f>
        <v>1910331.97</v>
      </c>
      <c r="AH56" s="609">
        <v>4</v>
      </c>
      <c r="AI56" s="583">
        <f>AC56</f>
        <v>1910331.97</v>
      </c>
      <c r="AJ56" s="583">
        <f>AI56*0.025</f>
        <v>47758.299250000004</v>
      </c>
      <c r="AK56" s="583">
        <f>AI56-AJ56</f>
        <v>1862573.67075</v>
      </c>
    </row>
    <row r="57" spans="1:37" x14ac:dyDescent="0.25">
      <c r="A57" s="2230"/>
      <c r="B57" s="2129"/>
      <c r="C57" s="2231"/>
      <c r="D57" s="1156">
        <v>1470</v>
      </c>
      <c r="E57" s="2207"/>
      <c r="F57" s="1455"/>
      <c r="G57" s="2233"/>
      <c r="H57" s="2210"/>
      <c r="I57" s="2210"/>
      <c r="J57" s="2210"/>
      <c r="K57" s="2210"/>
      <c r="L57" s="2228"/>
      <c r="M57" s="2201"/>
      <c r="N57" s="2201"/>
      <c r="O57" s="549" t="s">
        <v>93</v>
      </c>
      <c r="P57" s="555"/>
      <c r="Q57" s="556"/>
      <c r="R57" s="555"/>
      <c r="S57" s="555"/>
      <c r="T57" s="555"/>
      <c r="U57" s="556"/>
      <c r="V57" s="621"/>
      <c r="W57" s="557"/>
      <c r="X57" s="558"/>
      <c r="Y57" s="559"/>
      <c r="Z57" s="568"/>
      <c r="AA57" s="559"/>
      <c r="AB57" s="622"/>
      <c r="AC57" s="583">
        <f>H57</f>
        <v>0</v>
      </c>
      <c r="AD57" s="583">
        <f>AC57*0.03</f>
        <v>0</v>
      </c>
      <c r="AE57" s="608"/>
      <c r="AF57" s="610">
        <f>AC57-AD57</f>
        <v>0</v>
      </c>
      <c r="AG57" s="611">
        <f>AF57+AD57</f>
        <v>0</v>
      </c>
      <c r="AH57" s="609"/>
      <c r="AI57" s="583">
        <f>AC57</f>
        <v>0</v>
      </c>
      <c r="AJ57" s="583">
        <f>AI57*0.025</f>
        <v>0</v>
      </c>
      <c r="AK57" s="583">
        <f>AI57-AJ57</f>
        <v>0</v>
      </c>
    </row>
    <row r="58" spans="1:37" x14ac:dyDescent="0.25">
      <c r="A58" s="2230"/>
      <c r="B58" s="2130"/>
      <c r="C58" s="2231"/>
      <c r="D58" s="1156"/>
      <c r="E58" s="2208"/>
      <c r="F58" s="1456"/>
      <c r="G58" s="2234"/>
      <c r="H58" s="2211"/>
      <c r="I58" s="2211"/>
      <c r="J58" s="2211"/>
      <c r="K58" s="2211"/>
      <c r="L58" s="2229"/>
      <c r="M58" s="2202"/>
      <c r="N58" s="2202"/>
      <c r="O58" s="549" t="s">
        <v>94</v>
      </c>
      <c r="P58" s="560"/>
      <c r="Q58" s="561"/>
      <c r="R58" s="557"/>
      <c r="S58" s="557"/>
      <c r="T58" s="562"/>
      <c r="U58" s="562"/>
      <c r="V58" s="623"/>
      <c r="W58" s="562"/>
      <c r="X58" s="558"/>
      <c r="Y58" s="559"/>
      <c r="AB58" s="622"/>
      <c r="AC58" s="583">
        <f>H58</f>
        <v>0</v>
      </c>
      <c r="AD58" s="583">
        <f>AC58*0.03</f>
        <v>0</v>
      </c>
      <c r="AE58" s="608"/>
      <c r="AF58" s="610">
        <f>AC58-AD58</f>
        <v>0</v>
      </c>
      <c r="AG58" s="611">
        <f>AF58+AD58</f>
        <v>0</v>
      </c>
      <c r="AH58" s="609"/>
      <c r="AI58" s="583">
        <f>AC58</f>
        <v>0</v>
      </c>
      <c r="AJ58" s="583">
        <f>AI58*0.025</f>
        <v>0</v>
      </c>
      <c r="AK58" s="583">
        <f>AI58-AJ58</f>
        <v>0</v>
      </c>
    </row>
    <row r="59" spans="1:37" ht="13.8" customHeight="1" x14ac:dyDescent="0.25">
      <c r="A59" s="2230">
        <v>16</v>
      </c>
      <c r="B59" s="2128" t="s">
        <v>805</v>
      </c>
      <c r="C59" s="2231" t="s">
        <v>707</v>
      </c>
      <c r="D59" s="1156"/>
      <c r="E59" s="2206" t="s">
        <v>836</v>
      </c>
      <c r="F59" s="1150"/>
      <c r="G59" s="1321">
        <v>1910331.97</v>
      </c>
      <c r="H59" s="2209">
        <f>G59</f>
        <v>1910331.97</v>
      </c>
      <c r="I59" s="2209">
        <f>J59</f>
        <v>432966.83532113169</v>
      </c>
      <c r="J59" s="2209">
        <f>K59*0.414561030583245</f>
        <v>432966.83532113169</v>
      </c>
      <c r="K59" s="2209">
        <f>H59/1.82912206116649</f>
        <v>1044398.2993577366</v>
      </c>
      <c r="L59" s="2227"/>
      <c r="M59" s="2200" t="s">
        <v>90</v>
      </c>
      <c r="N59" s="2200" t="s">
        <v>91</v>
      </c>
      <c r="O59" s="549" t="s">
        <v>92</v>
      </c>
      <c r="P59" s="550">
        <f>Q59-7</f>
        <v>44137</v>
      </c>
      <c r="Q59" s="551">
        <f>R59-7</f>
        <v>44144</v>
      </c>
      <c r="R59" s="552">
        <v>44151</v>
      </c>
      <c r="S59" s="552">
        <f>R59+15</f>
        <v>44166</v>
      </c>
      <c r="T59" s="552">
        <f>S59+7</f>
        <v>44173</v>
      </c>
      <c r="U59" s="552">
        <f>T59+7</f>
        <v>44180</v>
      </c>
      <c r="V59" s="619"/>
      <c r="W59" s="552">
        <f>U59+7</f>
        <v>44187</v>
      </c>
      <c r="X59" s="553">
        <f>W59+7</f>
        <v>44194</v>
      </c>
      <c r="Y59" s="554">
        <f>X59+7</f>
        <v>44201</v>
      </c>
      <c r="Z59" s="554">
        <f>Y59+150</f>
        <v>44351</v>
      </c>
      <c r="AA59" s="554">
        <f>Z59+365</f>
        <v>44716</v>
      </c>
      <c r="AB59" s="620"/>
      <c r="AC59" s="583">
        <f t="shared" si="1"/>
        <v>1910331.97</v>
      </c>
      <c r="AD59" s="583">
        <f t="shared" si="2"/>
        <v>57309.9591</v>
      </c>
      <c r="AE59" s="608">
        <v>14</v>
      </c>
      <c r="AF59" s="610">
        <f t="shared" si="0"/>
        <v>1853022.0108999999</v>
      </c>
      <c r="AG59" s="611">
        <f t="shared" si="3"/>
        <v>1910331.97</v>
      </c>
      <c r="AH59" s="609">
        <v>4</v>
      </c>
      <c r="AI59" s="583">
        <f t="shared" si="4"/>
        <v>1910331.97</v>
      </c>
      <c r="AJ59" s="583">
        <f t="shared" si="5"/>
        <v>47758.299250000004</v>
      </c>
      <c r="AK59" s="583">
        <f t="shared" si="6"/>
        <v>1862573.67075</v>
      </c>
    </row>
    <row r="60" spans="1:37" x14ac:dyDescent="0.25">
      <c r="A60" s="2230"/>
      <c r="B60" s="2129"/>
      <c r="C60" s="2231"/>
      <c r="D60" s="1156">
        <v>1470</v>
      </c>
      <c r="E60" s="2207"/>
      <c r="F60" s="1151"/>
      <c r="G60" s="1326"/>
      <c r="H60" s="2210"/>
      <c r="I60" s="2210"/>
      <c r="J60" s="2210"/>
      <c r="K60" s="2210"/>
      <c r="L60" s="2228"/>
      <c r="M60" s="2201"/>
      <c r="N60" s="2201"/>
      <c r="O60" s="549" t="s">
        <v>93</v>
      </c>
      <c r="P60" s="555"/>
      <c r="Q60" s="556"/>
      <c r="R60" s="555"/>
      <c r="S60" s="555"/>
      <c r="T60" s="555"/>
      <c r="U60" s="556"/>
      <c r="V60" s="621"/>
      <c r="W60" s="557"/>
      <c r="X60" s="558"/>
      <c r="Y60" s="559"/>
      <c r="Z60" s="568"/>
      <c r="AA60" s="559"/>
      <c r="AB60" s="622"/>
      <c r="AC60" s="583">
        <f t="shared" si="1"/>
        <v>0</v>
      </c>
      <c r="AD60" s="583">
        <f t="shared" si="2"/>
        <v>0</v>
      </c>
      <c r="AE60" s="608"/>
      <c r="AF60" s="610">
        <f t="shared" si="0"/>
        <v>0</v>
      </c>
      <c r="AG60" s="611">
        <f t="shared" si="3"/>
        <v>0</v>
      </c>
      <c r="AH60" s="609"/>
      <c r="AI60" s="583">
        <f t="shared" si="4"/>
        <v>0</v>
      </c>
      <c r="AJ60" s="583">
        <f t="shared" si="5"/>
        <v>0</v>
      </c>
      <c r="AK60" s="583">
        <f t="shared" si="6"/>
        <v>0</v>
      </c>
    </row>
    <row r="61" spans="1:37" x14ac:dyDescent="0.25">
      <c r="A61" s="2230"/>
      <c r="B61" s="2130"/>
      <c r="C61" s="2231"/>
      <c r="D61" s="1156"/>
      <c r="E61" s="2208"/>
      <c r="F61" s="1152"/>
      <c r="G61" s="1327"/>
      <c r="H61" s="2211"/>
      <c r="I61" s="2211"/>
      <c r="J61" s="2211"/>
      <c r="K61" s="2211"/>
      <c r="L61" s="2229"/>
      <c r="M61" s="2202"/>
      <c r="N61" s="2202"/>
      <c r="O61" s="549" t="s">
        <v>94</v>
      </c>
      <c r="P61" s="560"/>
      <c r="Q61" s="561"/>
      <c r="R61" s="557"/>
      <c r="S61" s="557"/>
      <c r="T61" s="562"/>
      <c r="U61" s="562"/>
      <c r="V61" s="623"/>
      <c r="W61" s="562"/>
      <c r="X61" s="558"/>
      <c r="Y61" s="559"/>
      <c r="AB61" s="622"/>
      <c r="AC61" s="583">
        <f t="shared" si="1"/>
        <v>0</v>
      </c>
      <c r="AD61" s="583">
        <f t="shared" si="2"/>
        <v>0</v>
      </c>
      <c r="AE61" s="608"/>
      <c r="AF61" s="610">
        <f t="shared" si="0"/>
        <v>0</v>
      </c>
      <c r="AG61" s="611">
        <f t="shared" si="3"/>
        <v>0</v>
      </c>
      <c r="AH61" s="609"/>
      <c r="AI61" s="583">
        <f t="shared" si="4"/>
        <v>0</v>
      </c>
      <c r="AJ61" s="583">
        <f t="shared" si="5"/>
        <v>0</v>
      </c>
      <c r="AK61" s="583">
        <f t="shared" si="6"/>
        <v>0</v>
      </c>
    </row>
    <row r="62" spans="1:37" ht="13.8" customHeight="1" x14ac:dyDescent="0.25">
      <c r="A62" s="2230">
        <v>17</v>
      </c>
      <c r="B62" s="2128" t="s">
        <v>719</v>
      </c>
      <c r="C62" s="2231" t="s">
        <v>707</v>
      </c>
      <c r="D62" s="1156"/>
      <c r="E62" s="2206" t="s">
        <v>837</v>
      </c>
      <c r="F62" s="1150"/>
      <c r="G62" s="2232">
        <v>2452169.02</v>
      </c>
      <c r="H62" s="2209">
        <f>G62</f>
        <v>2452169.02</v>
      </c>
      <c r="I62" s="2209">
        <f>J62</f>
        <v>555771.393106048</v>
      </c>
      <c r="J62" s="2209">
        <f>K62*0.414561030583245</f>
        <v>555771.393106048</v>
      </c>
      <c r="K62" s="2209">
        <f>H62/1.82912206116649</f>
        <v>1340626.2337879043</v>
      </c>
      <c r="L62" s="2227"/>
      <c r="M62" s="2200" t="s">
        <v>90</v>
      </c>
      <c r="N62" s="2200" t="s">
        <v>91</v>
      </c>
      <c r="O62" s="549" t="s">
        <v>92</v>
      </c>
      <c r="P62" s="550">
        <f>Q62-7</f>
        <v>44137</v>
      </c>
      <c r="Q62" s="551">
        <f>R62-7</f>
        <v>44144</v>
      </c>
      <c r="R62" s="552">
        <v>44151</v>
      </c>
      <c r="S62" s="552">
        <f>R62+15</f>
        <v>44166</v>
      </c>
      <c r="T62" s="552">
        <f>S62+7</f>
        <v>44173</v>
      </c>
      <c r="U62" s="552">
        <f>T62+7</f>
        <v>44180</v>
      </c>
      <c r="V62" s="619"/>
      <c r="W62" s="552">
        <f>U62+7</f>
        <v>44187</v>
      </c>
      <c r="X62" s="553">
        <f>W62+7</f>
        <v>44194</v>
      </c>
      <c r="Y62" s="554">
        <f>X62+7</f>
        <v>44201</v>
      </c>
      <c r="Z62" s="554">
        <f>Y62+150</f>
        <v>44351</v>
      </c>
      <c r="AA62" s="554">
        <f>Z62+365</f>
        <v>44716</v>
      </c>
      <c r="AB62" s="620"/>
      <c r="AC62" s="583">
        <f t="shared" si="1"/>
        <v>2452169.02</v>
      </c>
      <c r="AD62" s="583">
        <f t="shared" si="2"/>
        <v>73565.070599999992</v>
      </c>
      <c r="AE62" s="608">
        <v>15</v>
      </c>
      <c r="AF62" s="610">
        <f t="shared" si="0"/>
        <v>2378603.9493999998</v>
      </c>
      <c r="AG62" s="611">
        <f t="shared" si="3"/>
        <v>2452169.02</v>
      </c>
      <c r="AH62" s="609">
        <v>5</v>
      </c>
      <c r="AI62" s="583">
        <f t="shared" si="4"/>
        <v>2452169.02</v>
      </c>
      <c r="AJ62" s="583">
        <f t="shared" si="5"/>
        <v>61304.2255</v>
      </c>
      <c r="AK62" s="583">
        <f t="shared" si="6"/>
        <v>2390864.7944999998</v>
      </c>
    </row>
    <row r="63" spans="1:37" x14ac:dyDescent="0.25">
      <c r="A63" s="2230"/>
      <c r="B63" s="2129"/>
      <c r="C63" s="2231"/>
      <c r="D63" s="1156">
        <v>1890</v>
      </c>
      <c r="E63" s="2207"/>
      <c r="F63" s="1151"/>
      <c r="G63" s="2233"/>
      <c r="H63" s="2210"/>
      <c r="I63" s="2210"/>
      <c r="J63" s="2210"/>
      <c r="K63" s="2210"/>
      <c r="L63" s="2228"/>
      <c r="M63" s="2201"/>
      <c r="N63" s="2201"/>
      <c r="O63" s="549" t="s">
        <v>93</v>
      </c>
      <c r="P63" s="555"/>
      <c r="Q63" s="556"/>
      <c r="R63" s="555"/>
      <c r="S63" s="555"/>
      <c r="T63" s="555"/>
      <c r="U63" s="556"/>
      <c r="V63" s="621"/>
      <c r="W63" s="557"/>
      <c r="X63" s="558"/>
      <c r="Y63" s="559"/>
      <c r="Z63" s="568"/>
      <c r="AA63" s="559"/>
      <c r="AB63" s="622"/>
      <c r="AC63" s="583">
        <f t="shared" si="1"/>
        <v>0</v>
      </c>
      <c r="AD63" s="583">
        <f t="shared" si="2"/>
        <v>0</v>
      </c>
      <c r="AE63" s="608"/>
      <c r="AF63" s="610">
        <f t="shared" si="0"/>
        <v>0</v>
      </c>
      <c r="AG63" s="611">
        <f t="shared" si="3"/>
        <v>0</v>
      </c>
      <c r="AH63" s="609"/>
      <c r="AI63" s="583">
        <f t="shared" si="4"/>
        <v>0</v>
      </c>
      <c r="AJ63" s="583">
        <f t="shared" si="5"/>
        <v>0</v>
      </c>
      <c r="AK63" s="583">
        <f t="shared" si="6"/>
        <v>0</v>
      </c>
    </row>
    <row r="64" spans="1:37" x14ac:dyDescent="0.25">
      <c r="A64" s="2230"/>
      <c r="B64" s="2130"/>
      <c r="C64" s="2231"/>
      <c r="D64" s="1156"/>
      <c r="E64" s="2208"/>
      <c r="F64" s="1152"/>
      <c r="G64" s="2234"/>
      <c r="H64" s="2211"/>
      <c r="I64" s="2211"/>
      <c r="J64" s="2211"/>
      <c r="K64" s="2211"/>
      <c r="L64" s="2229"/>
      <c r="M64" s="2202"/>
      <c r="N64" s="2202"/>
      <c r="O64" s="549" t="s">
        <v>94</v>
      </c>
      <c r="P64" s="560"/>
      <c r="Q64" s="561"/>
      <c r="R64" s="557"/>
      <c r="S64" s="557"/>
      <c r="T64" s="562"/>
      <c r="U64" s="562"/>
      <c r="V64" s="623"/>
      <c r="W64" s="562"/>
      <c r="X64" s="558"/>
      <c r="Y64" s="559"/>
      <c r="AB64" s="622"/>
      <c r="AC64" s="583">
        <f t="shared" si="1"/>
        <v>0</v>
      </c>
      <c r="AD64" s="583">
        <f t="shared" si="2"/>
        <v>0</v>
      </c>
      <c r="AE64" s="608"/>
      <c r="AF64" s="610">
        <f t="shared" si="0"/>
        <v>0</v>
      </c>
      <c r="AG64" s="611">
        <f t="shared" si="3"/>
        <v>0</v>
      </c>
      <c r="AH64" s="609"/>
      <c r="AI64" s="583">
        <f t="shared" si="4"/>
        <v>0</v>
      </c>
      <c r="AJ64" s="583">
        <f t="shared" si="5"/>
        <v>0</v>
      </c>
      <c r="AK64" s="583">
        <f t="shared" si="6"/>
        <v>0</v>
      </c>
    </row>
    <row r="65" spans="1:37" ht="13.8" customHeight="1" x14ac:dyDescent="0.25">
      <c r="A65" s="2230">
        <v>18</v>
      </c>
      <c r="B65" s="2128" t="s">
        <v>720</v>
      </c>
      <c r="C65" s="2231" t="s">
        <v>707</v>
      </c>
      <c r="D65" s="1156"/>
      <c r="E65" s="2206" t="s">
        <v>838</v>
      </c>
      <c r="F65" s="1150"/>
      <c r="G65" s="2232">
        <v>3079444.99</v>
      </c>
      <c r="H65" s="2209">
        <f>G65</f>
        <v>3079444.99</v>
      </c>
      <c r="I65" s="2209">
        <f>J65</f>
        <v>697940.2390809668</v>
      </c>
      <c r="J65" s="2209">
        <f>K65*0.414561030583245</f>
        <v>697940.2390809668</v>
      </c>
      <c r="K65" s="2209">
        <f>H65/1.82912206116649</f>
        <v>1683564.5118380669</v>
      </c>
      <c r="L65" s="2227"/>
      <c r="M65" s="2200" t="s">
        <v>90</v>
      </c>
      <c r="N65" s="2200" t="s">
        <v>91</v>
      </c>
      <c r="O65" s="549" t="s">
        <v>92</v>
      </c>
      <c r="P65" s="550">
        <f>Q65-7</f>
        <v>44137</v>
      </c>
      <c r="Q65" s="551">
        <f>R65-7</f>
        <v>44144</v>
      </c>
      <c r="R65" s="552">
        <v>44151</v>
      </c>
      <c r="S65" s="552">
        <f>R65+15</f>
        <v>44166</v>
      </c>
      <c r="T65" s="552">
        <f>S65+7</f>
        <v>44173</v>
      </c>
      <c r="U65" s="552">
        <f>T65+7</f>
        <v>44180</v>
      </c>
      <c r="V65" s="619"/>
      <c r="W65" s="552">
        <f>U65+7</f>
        <v>44187</v>
      </c>
      <c r="X65" s="553">
        <f>W65+7</f>
        <v>44194</v>
      </c>
      <c r="Y65" s="554">
        <f>X65+7</f>
        <v>44201</v>
      </c>
      <c r="Z65" s="554">
        <f>Y65+150</f>
        <v>44351</v>
      </c>
      <c r="AA65" s="554">
        <f>Z65+365</f>
        <v>44716</v>
      </c>
      <c r="AB65" s="620"/>
      <c r="AC65" s="583">
        <f t="shared" si="1"/>
        <v>3079444.99</v>
      </c>
      <c r="AD65" s="583">
        <f t="shared" si="2"/>
        <v>92383.349700000006</v>
      </c>
      <c r="AE65" s="608">
        <v>16</v>
      </c>
      <c r="AF65" s="610">
        <f t="shared" si="0"/>
        <v>2987061.6403000001</v>
      </c>
      <c r="AG65" s="611">
        <f t="shared" si="3"/>
        <v>3079444.99</v>
      </c>
      <c r="AH65" s="609">
        <v>3</v>
      </c>
      <c r="AI65" s="583">
        <f t="shared" si="4"/>
        <v>3079444.99</v>
      </c>
      <c r="AJ65" s="583">
        <f t="shared" si="5"/>
        <v>76986.124750000003</v>
      </c>
      <c r="AK65" s="583">
        <f t="shared" si="6"/>
        <v>3002458.8652500003</v>
      </c>
    </row>
    <row r="66" spans="1:37" x14ac:dyDescent="0.25">
      <c r="A66" s="2230"/>
      <c r="B66" s="2129"/>
      <c r="C66" s="2231"/>
      <c r="D66" s="1156">
        <v>2380</v>
      </c>
      <c r="E66" s="2207"/>
      <c r="F66" s="1151"/>
      <c r="G66" s="2233"/>
      <c r="H66" s="2210"/>
      <c r="I66" s="2210"/>
      <c r="J66" s="2210"/>
      <c r="K66" s="2210"/>
      <c r="L66" s="2228"/>
      <c r="M66" s="2201"/>
      <c r="N66" s="2201"/>
      <c r="O66" s="549" t="s">
        <v>93</v>
      </c>
      <c r="P66" s="555"/>
      <c r="Q66" s="556"/>
      <c r="R66" s="555"/>
      <c r="S66" s="555"/>
      <c r="T66" s="555"/>
      <c r="U66" s="556"/>
      <c r="V66" s="621"/>
      <c r="W66" s="557"/>
      <c r="X66" s="558"/>
      <c r="Y66" s="559"/>
      <c r="Z66" s="568"/>
      <c r="AA66" s="559"/>
      <c r="AB66" s="622"/>
      <c r="AC66" s="583">
        <f t="shared" si="1"/>
        <v>0</v>
      </c>
      <c r="AD66" s="583">
        <f t="shared" si="2"/>
        <v>0</v>
      </c>
      <c r="AE66" s="608"/>
      <c r="AF66" s="610">
        <f t="shared" si="0"/>
        <v>0</v>
      </c>
      <c r="AG66" s="611">
        <f t="shared" si="3"/>
        <v>0</v>
      </c>
      <c r="AH66" s="609"/>
      <c r="AI66" s="583">
        <f t="shared" si="4"/>
        <v>0</v>
      </c>
      <c r="AJ66" s="583">
        <f t="shared" si="5"/>
        <v>0</v>
      </c>
      <c r="AK66" s="583">
        <f t="shared" si="6"/>
        <v>0</v>
      </c>
    </row>
    <row r="67" spans="1:37" x14ac:dyDescent="0.25">
      <c r="A67" s="2230"/>
      <c r="B67" s="2130"/>
      <c r="C67" s="2231"/>
      <c r="D67" s="1156"/>
      <c r="E67" s="2208"/>
      <c r="F67" s="1152"/>
      <c r="G67" s="2234"/>
      <c r="H67" s="2211"/>
      <c r="I67" s="2211"/>
      <c r="J67" s="2211"/>
      <c r="K67" s="2211"/>
      <c r="L67" s="2229"/>
      <c r="M67" s="2202"/>
      <c r="N67" s="2202"/>
      <c r="O67" s="549" t="s">
        <v>94</v>
      </c>
      <c r="P67" s="560"/>
      <c r="Q67" s="561"/>
      <c r="R67" s="557"/>
      <c r="S67" s="557"/>
      <c r="T67" s="562"/>
      <c r="U67" s="562"/>
      <c r="V67" s="623"/>
      <c r="W67" s="562"/>
      <c r="X67" s="558"/>
      <c r="Y67" s="559"/>
      <c r="AB67" s="622"/>
      <c r="AC67" s="583">
        <f t="shared" si="1"/>
        <v>0</v>
      </c>
      <c r="AD67" s="583">
        <f t="shared" si="2"/>
        <v>0</v>
      </c>
      <c r="AE67" s="608"/>
      <c r="AF67" s="610">
        <f t="shared" si="0"/>
        <v>0</v>
      </c>
      <c r="AG67" s="611">
        <f t="shared" si="3"/>
        <v>0</v>
      </c>
      <c r="AH67" s="609"/>
      <c r="AI67" s="583">
        <f t="shared" si="4"/>
        <v>0</v>
      </c>
      <c r="AJ67" s="583">
        <f t="shared" si="5"/>
        <v>0</v>
      </c>
      <c r="AK67" s="583">
        <f t="shared" si="6"/>
        <v>0</v>
      </c>
    </row>
    <row r="68" spans="1:37" ht="13.8" customHeight="1" x14ac:dyDescent="0.25">
      <c r="A68" s="2230">
        <v>19</v>
      </c>
      <c r="B68" s="2128" t="s">
        <v>721</v>
      </c>
      <c r="C68" s="2231" t="s">
        <v>707</v>
      </c>
      <c r="D68" s="1156"/>
      <c r="E68" s="2206" t="s">
        <v>839</v>
      </c>
      <c r="F68" s="1150"/>
      <c r="G68" s="2232">
        <v>3043254.7</v>
      </c>
      <c r="H68" s="2209">
        <f>G68</f>
        <v>3043254.7</v>
      </c>
      <c r="I68" s="2209">
        <f>J68</f>
        <v>689737.89751064067</v>
      </c>
      <c r="J68" s="2209">
        <f>K68*0.414561030583245</f>
        <v>689737.89751064067</v>
      </c>
      <c r="K68" s="2209">
        <f>H68/1.82912206116649</f>
        <v>1663778.9049787191</v>
      </c>
      <c r="L68" s="2227"/>
      <c r="M68" s="2200" t="s">
        <v>90</v>
      </c>
      <c r="N68" s="2200" t="s">
        <v>91</v>
      </c>
      <c r="O68" s="549" t="s">
        <v>92</v>
      </c>
      <c r="P68" s="550">
        <f>Q68-7</f>
        <v>44137</v>
      </c>
      <c r="Q68" s="551">
        <f>R68-7</f>
        <v>44144</v>
      </c>
      <c r="R68" s="552">
        <v>44151</v>
      </c>
      <c r="S68" s="552">
        <f>R68+15</f>
        <v>44166</v>
      </c>
      <c r="T68" s="552">
        <f>S68+7</f>
        <v>44173</v>
      </c>
      <c r="U68" s="552">
        <f>T68+7</f>
        <v>44180</v>
      </c>
      <c r="V68" s="619"/>
      <c r="W68" s="552">
        <f>U68+7</f>
        <v>44187</v>
      </c>
      <c r="X68" s="553">
        <f>W68+7</f>
        <v>44194</v>
      </c>
      <c r="Y68" s="554">
        <f>X68+7</f>
        <v>44201</v>
      </c>
      <c r="Z68" s="554">
        <f>Y68+150</f>
        <v>44351</v>
      </c>
      <c r="AA68" s="554">
        <f>Z68+365</f>
        <v>44716</v>
      </c>
      <c r="AB68" s="620"/>
      <c r="AC68" s="583">
        <f t="shared" si="1"/>
        <v>3043254.7</v>
      </c>
      <c r="AD68" s="583">
        <f t="shared" si="2"/>
        <v>91297.641000000003</v>
      </c>
      <c r="AE68" s="608">
        <v>17</v>
      </c>
      <c r="AF68" s="610">
        <f t="shared" si="0"/>
        <v>2951957.0590000004</v>
      </c>
      <c r="AG68" s="611">
        <f t="shared" si="3"/>
        <v>3043254.7</v>
      </c>
      <c r="AH68" s="609">
        <v>4</v>
      </c>
      <c r="AI68" s="583">
        <f t="shared" si="4"/>
        <v>3043254.7</v>
      </c>
      <c r="AJ68" s="583">
        <f t="shared" si="5"/>
        <v>76081.367500000008</v>
      </c>
      <c r="AK68" s="583">
        <f t="shared" si="6"/>
        <v>2967173.3325</v>
      </c>
    </row>
    <row r="69" spans="1:37" x14ac:dyDescent="0.25">
      <c r="A69" s="2230"/>
      <c r="B69" s="2129"/>
      <c r="C69" s="2231"/>
      <c r="D69" s="1156">
        <v>2700</v>
      </c>
      <c r="E69" s="2207"/>
      <c r="F69" s="1151"/>
      <c r="G69" s="2233"/>
      <c r="H69" s="2210"/>
      <c r="I69" s="2210"/>
      <c r="J69" s="2210"/>
      <c r="K69" s="2210"/>
      <c r="L69" s="2228"/>
      <c r="M69" s="2201"/>
      <c r="N69" s="2201"/>
      <c r="O69" s="549" t="s">
        <v>93</v>
      </c>
      <c r="P69" s="555"/>
      <c r="Q69" s="556"/>
      <c r="R69" s="555"/>
      <c r="S69" s="555"/>
      <c r="T69" s="555"/>
      <c r="U69" s="556"/>
      <c r="V69" s="621"/>
      <c r="W69" s="557"/>
      <c r="X69" s="558"/>
      <c r="Y69" s="559"/>
      <c r="Z69" s="568"/>
      <c r="AA69" s="559"/>
      <c r="AB69" s="622"/>
      <c r="AC69" s="583">
        <f t="shared" si="1"/>
        <v>0</v>
      </c>
      <c r="AD69" s="583">
        <f t="shared" si="2"/>
        <v>0</v>
      </c>
      <c r="AE69" s="608"/>
      <c r="AF69" s="610">
        <f t="shared" si="0"/>
        <v>0</v>
      </c>
      <c r="AG69" s="611">
        <f t="shared" si="3"/>
        <v>0</v>
      </c>
      <c r="AH69" s="609"/>
      <c r="AI69" s="583">
        <f t="shared" si="4"/>
        <v>0</v>
      </c>
      <c r="AJ69" s="583">
        <f t="shared" si="5"/>
        <v>0</v>
      </c>
      <c r="AK69" s="583">
        <f t="shared" si="6"/>
        <v>0</v>
      </c>
    </row>
    <row r="70" spans="1:37" x14ac:dyDescent="0.25">
      <c r="A70" s="2230"/>
      <c r="B70" s="2130"/>
      <c r="C70" s="2231"/>
      <c r="D70" s="1156"/>
      <c r="E70" s="2208"/>
      <c r="F70" s="1152"/>
      <c r="G70" s="2234"/>
      <c r="H70" s="2211"/>
      <c r="I70" s="2211"/>
      <c r="J70" s="2211"/>
      <c r="K70" s="2211"/>
      <c r="L70" s="2229"/>
      <c r="M70" s="2202"/>
      <c r="N70" s="2202"/>
      <c r="O70" s="549" t="s">
        <v>94</v>
      </c>
      <c r="P70" s="560"/>
      <c r="Q70" s="561"/>
      <c r="R70" s="557"/>
      <c r="S70" s="557"/>
      <c r="T70" s="562"/>
      <c r="U70" s="562"/>
      <c r="V70" s="623"/>
      <c r="W70" s="562"/>
      <c r="X70" s="558"/>
      <c r="Y70" s="559"/>
      <c r="AB70" s="622"/>
      <c r="AC70" s="583">
        <f t="shared" si="1"/>
        <v>0</v>
      </c>
      <c r="AD70" s="583">
        <f t="shared" si="2"/>
        <v>0</v>
      </c>
      <c r="AE70" s="608"/>
      <c r="AF70" s="610">
        <f t="shared" si="0"/>
        <v>0</v>
      </c>
      <c r="AG70" s="611">
        <f t="shared" si="3"/>
        <v>0</v>
      </c>
      <c r="AH70" s="609"/>
      <c r="AI70" s="583">
        <f t="shared" si="4"/>
        <v>0</v>
      </c>
      <c r="AJ70" s="583">
        <f t="shared" si="5"/>
        <v>0</v>
      </c>
      <c r="AK70" s="583">
        <f t="shared" si="6"/>
        <v>0</v>
      </c>
    </row>
    <row r="71" spans="1:37" ht="13.8" customHeight="1" x14ac:dyDescent="0.25">
      <c r="A71" s="2230">
        <v>20</v>
      </c>
      <c r="B71" s="2128" t="s">
        <v>722</v>
      </c>
      <c r="C71" s="2231" t="s">
        <v>707</v>
      </c>
      <c r="D71" s="1156"/>
      <c r="E71" s="2206" t="s">
        <v>840</v>
      </c>
      <c r="F71" s="1150"/>
      <c r="G71" s="2232">
        <v>2854440.11</v>
      </c>
      <c r="H71" s="2209">
        <f>G71</f>
        <v>2854440.11</v>
      </c>
      <c r="I71" s="2209">
        <f>J71</f>
        <v>646944.04975089384</v>
      </c>
      <c r="J71" s="2209">
        <f>K71*0.414561030583245</f>
        <v>646944.04975089384</v>
      </c>
      <c r="K71" s="2209">
        <f>H71/1.82912206116649</f>
        <v>1560552.0104982122</v>
      </c>
      <c r="L71" s="2227"/>
      <c r="M71" s="2200" t="s">
        <v>90</v>
      </c>
      <c r="N71" s="2200" t="s">
        <v>91</v>
      </c>
      <c r="O71" s="549" t="s">
        <v>92</v>
      </c>
      <c r="P71" s="550">
        <f>Q71-7</f>
        <v>44137</v>
      </c>
      <c r="Q71" s="551">
        <f>R71-7</f>
        <v>44144</v>
      </c>
      <c r="R71" s="552">
        <v>44151</v>
      </c>
      <c r="S71" s="552">
        <f>R71+15</f>
        <v>44166</v>
      </c>
      <c r="T71" s="552">
        <f>S71+7</f>
        <v>44173</v>
      </c>
      <c r="U71" s="552">
        <f>T71+7</f>
        <v>44180</v>
      </c>
      <c r="V71" s="619"/>
      <c r="W71" s="552">
        <f>U71+7</f>
        <v>44187</v>
      </c>
      <c r="X71" s="553">
        <f>W71+7</f>
        <v>44194</v>
      </c>
      <c r="Y71" s="554">
        <f>X71+7</f>
        <v>44201</v>
      </c>
      <c r="Z71" s="554">
        <f>Y71+150</f>
        <v>44351</v>
      </c>
      <c r="AA71" s="554">
        <f>Z71+365</f>
        <v>44716</v>
      </c>
      <c r="AB71" s="620"/>
      <c r="AC71" s="583">
        <f t="shared" si="1"/>
        <v>2854440.11</v>
      </c>
      <c r="AD71" s="583">
        <f t="shared" si="2"/>
        <v>85633.203299999994</v>
      </c>
      <c r="AE71" s="608">
        <v>18</v>
      </c>
      <c r="AF71" s="610">
        <f t="shared" si="0"/>
        <v>2768806.9066999997</v>
      </c>
      <c r="AG71" s="611">
        <f t="shared" si="3"/>
        <v>2854440.11</v>
      </c>
      <c r="AH71" s="609">
        <v>5</v>
      </c>
      <c r="AI71" s="583">
        <f t="shared" si="4"/>
        <v>2854440.11</v>
      </c>
      <c r="AJ71" s="583">
        <f t="shared" si="5"/>
        <v>71361.00275</v>
      </c>
      <c r="AK71" s="583">
        <f t="shared" si="6"/>
        <v>2783079.1072499999</v>
      </c>
    </row>
    <row r="72" spans="1:37" x14ac:dyDescent="0.25">
      <c r="A72" s="2230"/>
      <c r="B72" s="2129"/>
      <c r="C72" s="2231"/>
      <c r="D72" s="1156">
        <v>2320</v>
      </c>
      <c r="E72" s="2207"/>
      <c r="F72" s="1151"/>
      <c r="G72" s="2233"/>
      <c r="H72" s="2210"/>
      <c r="I72" s="2210"/>
      <c r="J72" s="2210"/>
      <c r="K72" s="2210"/>
      <c r="L72" s="2228"/>
      <c r="M72" s="2201"/>
      <c r="N72" s="2201"/>
      <c r="O72" s="549" t="s">
        <v>93</v>
      </c>
      <c r="P72" s="555"/>
      <c r="Q72" s="556"/>
      <c r="R72" s="555"/>
      <c r="S72" s="555"/>
      <c r="T72" s="555"/>
      <c r="U72" s="556"/>
      <c r="V72" s="621"/>
      <c r="W72" s="557"/>
      <c r="X72" s="558"/>
      <c r="Y72" s="559"/>
      <c r="Z72" s="568"/>
      <c r="AA72" s="559"/>
      <c r="AB72" s="622"/>
      <c r="AC72" s="583">
        <f t="shared" si="1"/>
        <v>0</v>
      </c>
      <c r="AD72" s="583">
        <f t="shared" si="2"/>
        <v>0</v>
      </c>
      <c r="AE72" s="608"/>
      <c r="AF72" s="610">
        <f t="shared" si="0"/>
        <v>0</v>
      </c>
      <c r="AG72" s="611">
        <f t="shared" si="3"/>
        <v>0</v>
      </c>
      <c r="AH72" s="609"/>
      <c r="AI72" s="583">
        <f t="shared" si="4"/>
        <v>0</v>
      </c>
      <c r="AJ72" s="583">
        <f t="shared" si="5"/>
        <v>0</v>
      </c>
      <c r="AK72" s="583">
        <f t="shared" si="6"/>
        <v>0</v>
      </c>
    </row>
    <row r="73" spans="1:37" x14ac:dyDescent="0.25">
      <c r="A73" s="2230"/>
      <c r="B73" s="2130"/>
      <c r="C73" s="2231"/>
      <c r="D73" s="1156"/>
      <c r="E73" s="2208"/>
      <c r="F73" s="1152"/>
      <c r="G73" s="2234"/>
      <c r="H73" s="2211"/>
      <c r="I73" s="2211"/>
      <c r="J73" s="2211"/>
      <c r="K73" s="2211"/>
      <c r="L73" s="2229"/>
      <c r="M73" s="2202"/>
      <c r="N73" s="2202"/>
      <c r="O73" s="549" t="s">
        <v>94</v>
      </c>
      <c r="P73" s="560"/>
      <c r="Q73" s="561"/>
      <c r="R73" s="557"/>
      <c r="S73" s="557"/>
      <c r="T73" s="562"/>
      <c r="U73" s="562"/>
      <c r="V73" s="623"/>
      <c r="W73" s="562"/>
      <c r="X73" s="558"/>
      <c r="Y73" s="559"/>
      <c r="AB73" s="622"/>
      <c r="AC73" s="583">
        <f t="shared" si="1"/>
        <v>0</v>
      </c>
      <c r="AD73" s="583">
        <f t="shared" si="2"/>
        <v>0</v>
      </c>
      <c r="AE73" s="608"/>
      <c r="AF73" s="610">
        <f t="shared" si="0"/>
        <v>0</v>
      </c>
      <c r="AG73" s="611">
        <f t="shared" si="3"/>
        <v>0</v>
      </c>
      <c r="AH73" s="609"/>
      <c r="AI73" s="583">
        <f t="shared" si="4"/>
        <v>0</v>
      </c>
      <c r="AJ73" s="583">
        <f t="shared" si="5"/>
        <v>0</v>
      </c>
      <c r="AK73" s="583">
        <f t="shared" si="6"/>
        <v>0</v>
      </c>
    </row>
    <row r="74" spans="1:37" ht="13.8" customHeight="1" x14ac:dyDescent="0.25">
      <c r="A74" s="2230">
        <v>21</v>
      </c>
      <c r="B74" s="2128" t="s">
        <v>723</v>
      </c>
      <c r="C74" s="2231" t="s">
        <v>707</v>
      </c>
      <c r="D74" s="1156"/>
      <c r="E74" s="2206" t="s">
        <v>841</v>
      </c>
      <c r="F74" s="1150"/>
      <c r="G74" s="2232">
        <v>3405735.48</v>
      </c>
      <c r="H74" s="2209">
        <f>G74</f>
        <v>3405735.48</v>
      </c>
      <c r="I74" s="2209">
        <f>J74</f>
        <v>771892.28671940998</v>
      </c>
      <c r="J74" s="2209">
        <f>K74*0.414561030583245</f>
        <v>771892.28671940998</v>
      </c>
      <c r="K74" s="2209">
        <f>H74/1.82912206116649</f>
        <v>1861950.9065611798</v>
      </c>
      <c r="L74" s="2227"/>
      <c r="M74" s="2200" t="s">
        <v>90</v>
      </c>
      <c r="N74" s="2200" t="s">
        <v>91</v>
      </c>
      <c r="O74" s="549" t="s">
        <v>92</v>
      </c>
      <c r="P74" s="550">
        <f>Q74-7</f>
        <v>44137</v>
      </c>
      <c r="Q74" s="551">
        <f>R74-7</f>
        <v>44144</v>
      </c>
      <c r="R74" s="552">
        <v>44151</v>
      </c>
      <c r="S74" s="552">
        <f>R74+15</f>
        <v>44166</v>
      </c>
      <c r="T74" s="552">
        <f>S74+7</f>
        <v>44173</v>
      </c>
      <c r="U74" s="552">
        <f>T74+7</f>
        <v>44180</v>
      </c>
      <c r="V74" s="619"/>
      <c r="W74" s="552">
        <f>U74+7</f>
        <v>44187</v>
      </c>
      <c r="X74" s="553">
        <f>W74+7</f>
        <v>44194</v>
      </c>
      <c r="Y74" s="554">
        <f>X74+7</f>
        <v>44201</v>
      </c>
      <c r="Z74" s="554">
        <f>Y74+150</f>
        <v>44351</v>
      </c>
      <c r="AA74" s="554">
        <f>Z74+365</f>
        <v>44716</v>
      </c>
      <c r="AB74" s="620"/>
      <c r="AC74" s="583">
        <f t="shared" si="1"/>
        <v>3405735.48</v>
      </c>
      <c r="AD74" s="583">
        <f t="shared" si="2"/>
        <v>102172.0644</v>
      </c>
      <c r="AE74" s="608">
        <v>19</v>
      </c>
      <c r="AF74" s="610">
        <f t="shared" si="0"/>
        <v>3303563.4155999999</v>
      </c>
      <c r="AG74" s="611">
        <f t="shared" si="3"/>
        <v>3405735.48</v>
      </c>
      <c r="AH74" s="609">
        <v>3</v>
      </c>
      <c r="AI74" s="583">
        <f t="shared" si="4"/>
        <v>3405735.48</v>
      </c>
      <c r="AJ74" s="583">
        <f t="shared" si="5"/>
        <v>85143.387000000002</v>
      </c>
      <c r="AK74" s="583">
        <f t="shared" si="6"/>
        <v>3320592.0929999999</v>
      </c>
    </row>
    <row r="75" spans="1:37" x14ac:dyDescent="0.25">
      <c r="A75" s="2230"/>
      <c r="B75" s="2129"/>
      <c r="C75" s="2231"/>
      <c r="D75" s="1156">
        <v>2800</v>
      </c>
      <c r="E75" s="2207"/>
      <c r="F75" s="1151"/>
      <c r="G75" s="2233"/>
      <c r="H75" s="2210"/>
      <c r="I75" s="2210"/>
      <c r="J75" s="2210"/>
      <c r="K75" s="2210"/>
      <c r="L75" s="2228"/>
      <c r="M75" s="2201"/>
      <c r="N75" s="2201"/>
      <c r="O75" s="549" t="s">
        <v>93</v>
      </c>
      <c r="P75" s="555"/>
      <c r="Q75" s="556"/>
      <c r="R75" s="555"/>
      <c r="S75" s="555"/>
      <c r="T75" s="555"/>
      <c r="U75" s="556"/>
      <c r="V75" s="621"/>
      <c r="W75" s="557"/>
      <c r="X75" s="558"/>
      <c r="Y75" s="559"/>
      <c r="Z75" s="568"/>
      <c r="AA75" s="559"/>
      <c r="AB75" s="622"/>
      <c r="AC75" s="583">
        <f t="shared" si="1"/>
        <v>0</v>
      </c>
      <c r="AD75" s="583">
        <f t="shared" si="2"/>
        <v>0</v>
      </c>
      <c r="AE75" s="608"/>
      <c r="AF75" s="610">
        <f t="shared" si="0"/>
        <v>0</v>
      </c>
      <c r="AG75" s="611">
        <f t="shared" si="3"/>
        <v>0</v>
      </c>
      <c r="AH75" s="609"/>
      <c r="AI75" s="583">
        <f t="shared" si="4"/>
        <v>0</v>
      </c>
      <c r="AJ75" s="583">
        <f t="shared" si="5"/>
        <v>0</v>
      </c>
      <c r="AK75" s="583">
        <f t="shared" si="6"/>
        <v>0</v>
      </c>
    </row>
    <row r="76" spans="1:37" x14ac:dyDescent="0.25">
      <c r="A76" s="2230"/>
      <c r="B76" s="2130"/>
      <c r="C76" s="2231"/>
      <c r="D76" s="1156"/>
      <c r="E76" s="2208"/>
      <c r="F76" s="1152"/>
      <c r="G76" s="2234"/>
      <c r="H76" s="2211"/>
      <c r="I76" s="2211"/>
      <c r="J76" s="2211"/>
      <c r="K76" s="2211"/>
      <c r="L76" s="2229"/>
      <c r="M76" s="2202"/>
      <c r="N76" s="2202"/>
      <c r="O76" s="549" t="s">
        <v>94</v>
      </c>
      <c r="P76" s="560"/>
      <c r="Q76" s="561"/>
      <c r="R76" s="557"/>
      <c r="S76" s="557"/>
      <c r="T76" s="562"/>
      <c r="U76" s="562"/>
      <c r="V76" s="623"/>
      <c r="W76" s="562"/>
      <c r="X76" s="558"/>
      <c r="Y76" s="559"/>
      <c r="AB76" s="622"/>
      <c r="AC76" s="583">
        <f t="shared" si="1"/>
        <v>0</v>
      </c>
      <c r="AD76" s="583">
        <f t="shared" si="2"/>
        <v>0</v>
      </c>
      <c r="AE76" s="608"/>
      <c r="AF76" s="610">
        <f t="shared" si="0"/>
        <v>0</v>
      </c>
      <c r="AG76" s="611">
        <f t="shared" si="3"/>
        <v>0</v>
      </c>
      <c r="AH76" s="609"/>
      <c r="AI76" s="583">
        <f t="shared" si="4"/>
        <v>0</v>
      </c>
      <c r="AJ76" s="583">
        <f t="shared" si="5"/>
        <v>0</v>
      </c>
      <c r="AK76" s="583">
        <f t="shared" si="6"/>
        <v>0</v>
      </c>
    </row>
    <row r="77" spans="1:37" ht="13.8" customHeight="1" x14ac:dyDescent="0.25">
      <c r="A77" s="2230">
        <v>22</v>
      </c>
      <c r="B77" s="2128" t="s">
        <v>724</v>
      </c>
      <c r="C77" s="2231" t="s">
        <v>707</v>
      </c>
      <c r="D77" s="1156"/>
      <c r="E77" s="2206" t="s">
        <v>842</v>
      </c>
      <c r="F77" s="1150"/>
      <c r="G77" s="2232">
        <v>3165314.25</v>
      </c>
      <c r="H77" s="2209">
        <f>G77</f>
        <v>3165314.25</v>
      </c>
      <c r="I77" s="2209">
        <f>J77</f>
        <v>717402.06160051934</v>
      </c>
      <c r="J77" s="2209">
        <f>K77*0.414561030583245</f>
        <v>717402.06160051934</v>
      </c>
      <c r="K77" s="2209">
        <f>H77/1.82912206116649</f>
        <v>1730510.1267989613</v>
      </c>
      <c r="L77" s="2227"/>
      <c r="M77" s="2200" t="s">
        <v>90</v>
      </c>
      <c r="N77" s="2200" t="s">
        <v>91</v>
      </c>
      <c r="O77" s="549" t="s">
        <v>92</v>
      </c>
      <c r="P77" s="550">
        <f>Q77-7</f>
        <v>44137</v>
      </c>
      <c r="Q77" s="551">
        <f>R77-7</f>
        <v>44144</v>
      </c>
      <c r="R77" s="552">
        <v>44151</v>
      </c>
      <c r="S77" s="552">
        <f>R77+15</f>
        <v>44166</v>
      </c>
      <c r="T77" s="552">
        <f>S77+7</f>
        <v>44173</v>
      </c>
      <c r="U77" s="552">
        <f>T77+7</f>
        <v>44180</v>
      </c>
      <c r="V77" s="619"/>
      <c r="W77" s="552">
        <f>U77+7</f>
        <v>44187</v>
      </c>
      <c r="X77" s="553">
        <f>W77+7</f>
        <v>44194</v>
      </c>
      <c r="Y77" s="554">
        <f>X77+7</f>
        <v>44201</v>
      </c>
      <c r="Z77" s="554">
        <f>Y77+150</f>
        <v>44351</v>
      </c>
      <c r="AA77" s="554">
        <f>Z77+365</f>
        <v>44716</v>
      </c>
      <c r="AB77" s="620"/>
      <c r="AC77" s="583">
        <f t="shared" si="1"/>
        <v>3165314.25</v>
      </c>
      <c r="AD77" s="583">
        <f t="shared" si="2"/>
        <v>94959.427499999991</v>
      </c>
      <c r="AE77" s="608">
        <v>20</v>
      </c>
      <c r="AF77" s="610">
        <f t="shared" si="0"/>
        <v>3070354.8224999998</v>
      </c>
      <c r="AG77" s="611">
        <f t="shared" si="3"/>
        <v>3165314.25</v>
      </c>
      <c r="AH77" s="609">
        <v>4</v>
      </c>
      <c r="AI77" s="583">
        <f t="shared" si="4"/>
        <v>3165314.25</v>
      </c>
      <c r="AJ77" s="583">
        <f t="shared" si="5"/>
        <v>79132.856250000012</v>
      </c>
      <c r="AK77" s="583">
        <f t="shared" si="6"/>
        <v>3086181.3937499998</v>
      </c>
    </row>
    <row r="78" spans="1:37" x14ac:dyDescent="0.25">
      <c r="A78" s="2230"/>
      <c r="B78" s="2129"/>
      <c r="C78" s="2231"/>
      <c r="D78" s="1156">
        <v>2450</v>
      </c>
      <c r="E78" s="2207"/>
      <c r="F78" s="1151"/>
      <c r="G78" s="2233"/>
      <c r="H78" s="2210"/>
      <c r="I78" s="2210"/>
      <c r="J78" s="2210"/>
      <c r="K78" s="2210"/>
      <c r="L78" s="2228"/>
      <c r="M78" s="2201"/>
      <c r="N78" s="2201"/>
      <c r="O78" s="549" t="s">
        <v>93</v>
      </c>
      <c r="P78" s="555"/>
      <c r="Q78" s="556"/>
      <c r="R78" s="555"/>
      <c r="S78" s="555"/>
      <c r="T78" s="555"/>
      <c r="U78" s="556"/>
      <c r="V78" s="621"/>
      <c r="W78" s="557"/>
      <c r="X78" s="558"/>
      <c r="Y78" s="559"/>
      <c r="Z78" s="568"/>
      <c r="AA78" s="559"/>
      <c r="AB78" s="622"/>
      <c r="AC78" s="583">
        <f t="shared" si="1"/>
        <v>0</v>
      </c>
      <c r="AD78" s="583">
        <f t="shared" si="2"/>
        <v>0</v>
      </c>
      <c r="AE78" s="608"/>
      <c r="AF78" s="610">
        <f t="shared" si="0"/>
        <v>0</v>
      </c>
      <c r="AG78" s="611">
        <f t="shared" si="3"/>
        <v>0</v>
      </c>
      <c r="AH78" s="609"/>
      <c r="AI78" s="583">
        <f t="shared" si="4"/>
        <v>0</v>
      </c>
      <c r="AJ78" s="583">
        <f t="shared" si="5"/>
        <v>0</v>
      </c>
      <c r="AK78" s="583">
        <f t="shared" si="6"/>
        <v>0</v>
      </c>
    </row>
    <row r="79" spans="1:37" x14ac:dyDescent="0.25">
      <c r="A79" s="2230"/>
      <c r="B79" s="2130"/>
      <c r="C79" s="2231"/>
      <c r="D79" s="1156"/>
      <c r="E79" s="2208"/>
      <c r="F79" s="1152"/>
      <c r="G79" s="2234"/>
      <c r="H79" s="2211"/>
      <c r="I79" s="2211"/>
      <c r="J79" s="2211"/>
      <c r="K79" s="2211"/>
      <c r="L79" s="2229"/>
      <c r="M79" s="2202"/>
      <c r="N79" s="2202"/>
      <c r="O79" s="549" t="s">
        <v>94</v>
      </c>
      <c r="P79" s="560"/>
      <c r="Q79" s="561"/>
      <c r="R79" s="557"/>
      <c r="S79" s="557"/>
      <c r="T79" s="562"/>
      <c r="U79" s="562"/>
      <c r="V79" s="623"/>
      <c r="W79" s="562"/>
      <c r="X79" s="558"/>
      <c r="Y79" s="559"/>
      <c r="AB79" s="622"/>
      <c r="AC79" s="583">
        <f t="shared" si="1"/>
        <v>0</v>
      </c>
      <c r="AD79" s="583">
        <f t="shared" si="2"/>
        <v>0</v>
      </c>
      <c r="AE79" s="608"/>
      <c r="AF79" s="610">
        <f t="shared" si="0"/>
        <v>0</v>
      </c>
      <c r="AG79" s="611">
        <f t="shared" si="3"/>
        <v>0</v>
      </c>
      <c r="AH79" s="609"/>
      <c r="AI79" s="583">
        <f t="shared" si="4"/>
        <v>0</v>
      </c>
      <c r="AJ79" s="583">
        <f t="shared" si="5"/>
        <v>0</v>
      </c>
      <c r="AK79" s="583">
        <f t="shared" si="6"/>
        <v>0</v>
      </c>
    </row>
    <row r="80" spans="1:37" ht="13.8" customHeight="1" x14ac:dyDescent="0.25">
      <c r="A80" s="2230">
        <v>23</v>
      </c>
      <c r="B80" s="2128" t="s">
        <v>725</v>
      </c>
      <c r="C80" s="2231" t="s">
        <v>707</v>
      </c>
      <c r="D80" s="1156"/>
      <c r="E80" s="2206" t="s">
        <v>843</v>
      </c>
      <c r="F80" s="1150"/>
      <c r="G80" s="2232">
        <v>2570254.38</v>
      </c>
      <c r="H80" s="1260">
        <f>G80</f>
        <v>2570254.38</v>
      </c>
      <c r="I80" s="2209">
        <f>J80</f>
        <v>582534.82763986685</v>
      </c>
      <c r="J80" s="2209">
        <f>K80*0.414561030583245</f>
        <v>582534.82763986685</v>
      </c>
      <c r="K80" s="2209">
        <f>H80/1.82912206116649</f>
        <v>1405184.7247202659</v>
      </c>
      <c r="L80" s="2227"/>
      <c r="M80" s="2200" t="s">
        <v>90</v>
      </c>
      <c r="N80" s="2200" t="s">
        <v>91</v>
      </c>
      <c r="O80" s="549" t="s">
        <v>92</v>
      </c>
      <c r="P80" s="550">
        <f>Q80-7</f>
        <v>44137</v>
      </c>
      <c r="Q80" s="551">
        <f>R80-7</f>
        <v>44144</v>
      </c>
      <c r="R80" s="552">
        <v>44151</v>
      </c>
      <c r="S80" s="552">
        <f>R80+15</f>
        <v>44166</v>
      </c>
      <c r="T80" s="552">
        <f>S80+7</f>
        <v>44173</v>
      </c>
      <c r="U80" s="552">
        <f>T80+7</f>
        <v>44180</v>
      </c>
      <c r="V80" s="619"/>
      <c r="W80" s="552">
        <f>U80+7</f>
        <v>44187</v>
      </c>
      <c r="X80" s="553">
        <f>W80+7</f>
        <v>44194</v>
      </c>
      <c r="Y80" s="554">
        <f>X80+7</f>
        <v>44201</v>
      </c>
      <c r="Z80" s="554">
        <f>Y80+150</f>
        <v>44351</v>
      </c>
      <c r="AA80" s="554">
        <f>Z80+365</f>
        <v>44716</v>
      </c>
      <c r="AB80" s="620"/>
      <c r="AC80" s="583">
        <f>H80</f>
        <v>2570254.38</v>
      </c>
      <c r="AD80" s="583">
        <f>AC80*0.03</f>
        <v>77107.631399999998</v>
      </c>
      <c r="AE80" s="608">
        <v>21</v>
      </c>
      <c r="AF80" s="610">
        <f>AC80-AD80</f>
        <v>2493146.7486</v>
      </c>
      <c r="AG80" s="611">
        <f>AF80+AD80</f>
        <v>2570254.38</v>
      </c>
      <c r="AH80" s="609">
        <v>5</v>
      </c>
      <c r="AI80" s="583">
        <f>AC80</f>
        <v>2570254.38</v>
      </c>
      <c r="AJ80" s="583">
        <f>AI80*0.025</f>
        <v>64256.359499999999</v>
      </c>
      <c r="AK80" s="583">
        <f>AI80-AJ80</f>
        <v>2505998.0205000001</v>
      </c>
    </row>
    <row r="81" spans="1:37" x14ac:dyDescent="0.25">
      <c r="A81" s="2230"/>
      <c r="B81" s="2129"/>
      <c r="C81" s="2231"/>
      <c r="D81" s="1156">
        <v>1960</v>
      </c>
      <c r="E81" s="2207"/>
      <c r="F81" s="1151"/>
      <c r="G81" s="2233"/>
      <c r="H81" s="1261"/>
      <c r="I81" s="2210"/>
      <c r="J81" s="2210"/>
      <c r="K81" s="2210"/>
      <c r="L81" s="2228"/>
      <c r="M81" s="2201"/>
      <c r="N81" s="2201"/>
      <c r="O81" s="549" t="s">
        <v>93</v>
      </c>
      <c r="P81" s="555"/>
      <c r="Q81" s="556"/>
      <c r="R81" s="1058">
        <v>0</v>
      </c>
      <c r="S81" s="555"/>
      <c r="T81" s="555"/>
      <c r="U81" s="556"/>
      <c r="V81" s="621"/>
      <c r="W81" s="557"/>
      <c r="X81" s="558"/>
      <c r="Y81" s="559"/>
      <c r="Z81" s="568"/>
      <c r="AA81" s="559"/>
      <c r="AB81" s="622"/>
      <c r="AC81" s="583">
        <f>H81</f>
        <v>0</v>
      </c>
      <c r="AD81" s="583">
        <f>AC81*0.03</f>
        <v>0</v>
      </c>
      <c r="AE81" s="608"/>
      <c r="AF81" s="610">
        <f>AC81-AD81</f>
        <v>0</v>
      </c>
      <c r="AG81" s="611">
        <f>AF81+AD81</f>
        <v>0</v>
      </c>
      <c r="AH81" s="609"/>
      <c r="AI81" s="583">
        <f>AC81</f>
        <v>0</v>
      </c>
      <c r="AJ81" s="583">
        <f>AI81*0.025</f>
        <v>0</v>
      </c>
      <c r="AK81" s="583">
        <f>AI81-AJ81</f>
        <v>0</v>
      </c>
    </row>
    <row r="82" spans="1:37" x14ac:dyDescent="0.25">
      <c r="A82" s="2230"/>
      <c r="B82" s="2130"/>
      <c r="C82" s="2231"/>
      <c r="D82" s="1156"/>
      <c r="E82" s="2208"/>
      <c r="F82" s="1152"/>
      <c r="G82" s="2234"/>
      <c r="H82" s="1262"/>
      <c r="I82" s="2211"/>
      <c r="J82" s="2211"/>
      <c r="K82" s="2211"/>
      <c r="L82" s="2229"/>
      <c r="M82" s="2202"/>
      <c r="N82" s="2202"/>
      <c r="O82" s="549" t="s">
        <v>94</v>
      </c>
      <c r="P82" s="560"/>
      <c r="Q82" s="561"/>
      <c r="R82" s="557"/>
      <c r="S82" s="557"/>
      <c r="T82" s="562"/>
      <c r="U82" s="562"/>
      <c r="V82" s="623"/>
      <c r="W82" s="562"/>
      <c r="X82" s="558"/>
      <c r="Y82" s="559"/>
      <c r="AB82" s="622"/>
      <c r="AC82" s="583">
        <f>H82</f>
        <v>0</v>
      </c>
      <c r="AD82" s="583">
        <f>AC82*0.03</f>
        <v>0</v>
      </c>
      <c r="AE82" s="608"/>
      <c r="AF82" s="610">
        <f>AC82-AD82</f>
        <v>0</v>
      </c>
      <c r="AG82" s="611">
        <f>AF82+AD82</f>
        <v>0</v>
      </c>
      <c r="AH82" s="609"/>
      <c r="AI82" s="583">
        <f>AC82</f>
        <v>0</v>
      </c>
      <c r="AJ82" s="583">
        <f>AI82*0.025</f>
        <v>0</v>
      </c>
      <c r="AK82" s="583">
        <f>AI82-AJ82</f>
        <v>0</v>
      </c>
    </row>
    <row r="83" spans="1:37" ht="13.8" customHeight="1" x14ac:dyDescent="0.25">
      <c r="A83" s="2253">
        <v>24</v>
      </c>
      <c r="B83" s="2128" t="s">
        <v>726</v>
      </c>
      <c r="C83" s="2256" t="s">
        <v>707</v>
      </c>
      <c r="D83" s="1156"/>
      <c r="E83" s="2206" t="s">
        <v>844</v>
      </c>
      <c r="F83" s="1150"/>
      <c r="G83" s="2232">
        <v>2504746.2999999998</v>
      </c>
      <c r="H83" s="1260">
        <f>G83</f>
        <v>2504746.2999999998</v>
      </c>
      <c r="I83" s="2209">
        <f>J83</f>
        <v>567687.7609881144</v>
      </c>
      <c r="J83" s="2209">
        <f>K83*0.414561030583245</f>
        <v>567687.7609881144</v>
      </c>
      <c r="K83" s="2209">
        <f>H83/1.82912206116649</f>
        <v>1369370.7780237708</v>
      </c>
      <c r="L83" s="2227"/>
      <c r="M83" s="2200" t="s">
        <v>90</v>
      </c>
      <c r="N83" s="2200" t="s">
        <v>91</v>
      </c>
      <c r="O83" s="549" t="s">
        <v>92</v>
      </c>
      <c r="P83" s="550">
        <f>Q83-7</f>
        <v>44137</v>
      </c>
      <c r="Q83" s="551">
        <f>R83-7</f>
        <v>44144</v>
      </c>
      <c r="R83" s="552">
        <v>44151</v>
      </c>
      <c r="S83" s="552">
        <f>R83+15</f>
        <v>44166</v>
      </c>
      <c r="T83" s="552">
        <f>S83+7</f>
        <v>44173</v>
      </c>
      <c r="U83" s="552">
        <f>T83+7</f>
        <v>44180</v>
      </c>
      <c r="V83" s="619"/>
      <c r="W83" s="552">
        <f>U83+7</f>
        <v>44187</v>
      </c>
      <c r="X83" s="553">
        <f>W83+7</f>
        <v>44194</v>
      </c>
      <c r="Y83" s="554">
        <f>X83+7</f>
        <v>44201</v>
      </c>
      <c r="Z83" s="554">
        <f>Y83+150</f>
        <v>44351</v>
      </c>
      <c r="AA83" s="554">
        <f>Z83+365</f>
        <v>44716</v>
      </c>
      <c r="AB83" s="620"/>
      <c r="AC83" s="583">
        <f t="shared" si="1"/>
        <v>2504746.2999999998</v>
      </c>
      <c r="AD83" s="583">
        <f t="shared" si="2"/>
        <v>75142.388999999996</v>
      </c>
      <c r="AE83" s="608">
        <v>21</v>
      </c>
      <c r="AF83" s="610">
        <f t="shared" si="0"/>
        <v>2429603.9109999998</v>
      </c>
      <c r="AG83" s="611">
        <f t="shared" si="3"/>
        <v>2504746.2999999998</v>
      </c>
      <c r="AH83" s="609">
        <v>5</v>
      </c>
      <c r="AI83" s="583">
        <f t="shared" si="4"/>
        <v>2504746.2999999998</v>
      </c>
      <c r="AJ83" s="583">
        <f t="shared" si="5"/>
        <v>62618.657500000001</v>
      </c>
      <c r="AK83" s="583">
        <f t="shared" si="6"/>
        <v>2442127.6424999996</v>
      </c>
    </row>
    <row r="84" spans="1:37" x14ac:dyDescent="0.25">
      <c r="A84" s="2254"/>
      <c r="B84" s="2129"/>
      <c r="C84" s="2257"/>
      <c r="D84" s="1156">
        <v>1960</v>
      </c>
      <c r="E84" s="2207"/>
      <c r="F84" s="1151"/>
      <c r="G84" s="2233"/>
      <c r="H84" s="1261"/>
      <c r="I84" s="2210"/>
      <c r="J84" s="2210"/>
      <c r="K84" s="2210"/>
      <c r="L84" s="2228"/>
      <c r="M84" s="2201"/>
      <c r="N84" s="2201"/>
      <c r="O84" s="549" t="s">
        <v>93</v>
      </c>
      <c r="P84" s="555"/>
      <c r="Q84" s="556"/>
      <c r="R84" s="1058">
        <v>0</v>
      </c>
      <c r="S84" s="555"/>
      <c r="T84" s="555"/>
      <c r="U84" s="556"/>
      <c r="V84" s="621"/>
      <c r="W84" s="557"/>
      <c r="X84" s="558"/>
      <c r="Y84" s="559"/>
      <c r="Z84" s="568"/>
      <c r="AA84" s="559"/>
      <c r="AB84" s="622"/>
      <c r="AC84" s="583">
        <f t="shared" si="1"/>
        <v>0</v>
      </c>
      <c r="AD84" s="583">
        <f t="shared" si="2"/>
        <v>0</v>
      </c>
      <c r="AE84" s="608"/>
      <c r="AF84" s="610">
        <f t="shared" si="0"/>
        <v>0</v>
      </c>
      <c r="AG84" s="611">
        <f t="shared" si="3"/>
        <v>0</v>
      </c>
      <c r="AH84" s="609"/>
      <c r="AI84" s="583">
        <f t="shared" si="4"/>
        <v>0</v>
      </c>
      <c r="AJ84" s="583">
        <f t="shared" si="5"/>
        <v>0</v>
      </c>
      <c r="AK84" s="583">
        <f t="shared" si="6"/>
        <v>0</v>
      </c>
    </row>
    <row r="85" spans="1:37" x14ac:dyDescent="0.25">
      <c r="A85" s="2255"/>
      <c r="B85" s="2130"/>
      <c r="C85" s="2258"/>
      <c r="D85" s="1156"/>
      <c r="E85" s="2208"/>
      <c r="F85" s="1152"/>
      <c r="G85" s="2234"/>
      <c r="H85" s="1262"/>
      <c r="I85" s="2211"/>
      <c r="J85" s="2211"/>
      <c r="K85" s="2211"/>
      <c r="L85" s="2229"/>
      <c r="M85" s="2202"/>
      <c r="N85" s="2202"/>
      <c r="O85" s="549" t="s">
        <v>94</v>
      </c>
      <c r="P85" s="560"/>
      <c r="Q85" s="561"/>
      <c r="R85" s="557"/>
      <c r="S85" s="557"/>
      <c r="T85" s="562"/>
      <c r="U85" s="562"/>
      <c r="V85" s="623"/>
      <c r="W85" s="562"/>
      <c r="X85" s="558"/>
      <c r="Y85" s="559"/>
      <c r="AB85" s="622"/>
      <c r="AC85" s="583">
        <f t="shared" si="1"/>
        <v>0</v>
      </c>
      <c r="AD85" s="583">
        <f t="shared" si="2"/>
        <v>0</v>
      </c>
      <c r="AE85" s="608"/>
      <c r="AF85" s="610">
        <f t="shared" si="0"/>
        <v>0</v>
      </c>
      <c r="AG85" s="611">
        <f t="shared" si="3"/>
        <v>0</v>
      </c>
      <c r="AH85" s="609"/>
      <c r="AI85" s="583">
        <f t="shared" si="4"/>
        <v>0</v>
      </c>
      <c r="AJ85" s="583">
        <f t="shared" si="5"/>
        <v>0</v>
      </c>
      <c r="AK85" s="583">
        <f t="shared" si="6"/>
        <v>0</v>
      </c>
    </row>
    <row r="86" spans="1:37" ht="13.8" customHeight="1" x14ac:dyDescent="0.25">
      <c r="A86" s="2253">
        <v>25</v>
      </c>
      <c r="B86" s="2128" t="s">
        <v>727</v>
      </c>
      <c r="C86" s="2256" t="s">
        <v>707</v>
      </c>
      <c r="D86" s="1156"/>
      <c r="E86" s="2206" t="s">
        <v>845</v>
      </c>
      <c r="F86" s="1150"/>
      <c r="G86" s="2232">
        <v>2334729.2000000002</v>
      </c>
      <c r="H86" s="1260">
        <f>G86</f>
        <v>2334729.2000000002</v>
      </c>
      <c r="I86" s="2209">
        <f>J86</f>
        <v>529154.26686589851</v>
      </c>
      <c r="J86" s="2209">
        <f>K86*0.414561030583245</f>
        <v>529154.26686589851</v>
      </c>
      <c r="K86" s="2209">
        <f>H86/1.82912206116649</f>
        <v>1276420.6662682032</v>
      </c>
      <c r="L86" s="2227"/>
      <c r="M86" s="2200" t="s">
        <v>90</v>
      </c>
      <c r="N86" s="2200" t="s">
        <v>91</v>
      </c>
      <c r="O86" s="549" t="s">
        <v>92</v>
      </c>
      <c r="P86" s="550">
        <f>Q86-7</f>
        <v>44137</v>
      </c>
      <c r="Q86" s="551">
        <f>R86-7</f>
        <v>44144</v>
      </c>
      <c r="R86" s="552">
        <v>44151</v>
      </c>
      <c r="S86" s="552">
        <f>R86+15</f>
        <v>44166</v>
      </c>
      <c r="T86" s="552">
        <f>S86+7</f>
        <v>44173</v>
      </c>
      <c r="U86" s="552">
        <f>T86+7</f>
        <v>44180</v>
      </c>
      <c r="V86" s="619"/>
      <c r="W86" s="552">
        <f>U86+7</f>
        <v>44187</v>
      </c>
      <c r="X86" s="553">
        <f>W86+7</f>
        <v>44194</v>
      </c>
      <c r="Y86" s="554">
        <f>X86+7</f>
        <v>44201</v>
      </c>
      <c r="Z86" s="554">
        <f>Y86+150</f>
        <v>44351</v>
      </c>
      <c r="AA86" s="554">
        <f>Z86+365</f>
        <v>44716</v>
      </c>
      <c r="AB86" s="620"/>
      <c r="AC86" s="583">
        <f>H86</f>
        <v>2334729.2000000002</v>
      </c>
      <c r="AD86" s="583">
        <f>AC86*0.03</f>
        <v>70041.876000000004</v>
      </c>
      <c r="AE86" s="608">
        <v>21</v>
      </c>
      <c r="AF86" s="610">
        <f>AC86-AD86</f>
        <v>2264687.324</v>
      </c>
      <c r="AG86" s="611">
        <f>AF86+AD86</f>
        <v>2334729.2000000002</v>
      </c>
      <c r="AH86" s="609">
        <v>5</v>
      </c>
      <c r="AI86" s="583">
        <f>AC86</f>
        <v>2334729.2000000002</v>
      </c>
      <c r="AJ86" s="583">
        <f>AI86*0.025</f>
        <v>58368.23000000001</v>
      </c>
      <c r="AK86" s="583">
        <f>AI86-AJ86</f>
        <v>2276360.9700000002</v>
      </c>
    </row>
    <row r="87" spans="1:37" x14ac:dyDescent="0.25">
      <c r="A87" s="2254"/>
      <c r="B87" s="2129"/>
      <c r="C87" s="2257"/>
      <c r="D87" s="1156">
        <v>1820</v>
      </c>
      <c r="E87" s="2207"/>
      <c r="F87" s="1151"/>
      <c r="G87" s="2233"/>
      <c r="H87" s="1261"/>
      <c r="I87" s="2210"/>
      <c r="J87" s="2210"/>
      <c r="K87" s="2210"/>
      <c r="L87" s="2228"/>
      <c r="M87" s="2201"/>
      <c r="N87" s="2201"/>
      <c r="O87" s="549" t="s">
        <v>93</v>
      </c>
      <c r="P87" s="555"/>
      <c r="Q87" s="556"/>
      <c r="R87" s="1058">
        <v>0</v>
      </c>
      <c r="S87" s="555"/>
      <c r="T87" s="555"/>
      <c r="U87" s="556"/>
      <c r="V87" s="621"/>
      <c r="W87" s="557"/>
      <c r="X87" s="558"/>
      <c r="Y87" s="559"/>
      <c r="Z87" s="568"/>
      <c r="AA87" s="559"/>
      <c r="AB87" s="622"/>
      <c r="AC87" s="583">
        <f>H87</f>
        <v>0</v>
      </c>
      <c r="AD87" s="583">
        <f>AC87*0.03</f>
        <v>0</v>
      </c>
      <c r="AE87" s="608"/>
      <c r="AF87" s="610">
        <f>AC87-AD87</f>
        <v>0</v>
      </c>
      <c r="AG87" s="611">
        <f>AF87+AD87</f>
        <v>0</v>
      </c>
      <c r="AH87" s="609"/>
      <c r="AI87" s="583">
        <f>AC87</f>
        <v>0</v>
      </c>
      <c r="AJ87" s="583">
        <f>AI87*0.025</f>
        <v>0</v>
      </c>
      <c r="AK87" s="583">
        <f>AI87-AJ87</f>
        <v>0</v>
      </c>
    </row>
    <row r="88" spans="1:37" x14ac:dyDescent="0.25">
      <c r="A88" s="2255"/>
      <c r="B88" s="2130"/>
      <c r="C88" s="2258"/>
      <c r="D88" s="1156"/>
      <c r="E88" s="2208"/>
      <c r="F88" s="1152"/>
      <c r="G88" s="2234"/>
      <c r="H88" s="1262"/>
      <c r="I88" s="2211"/>
      <c r="J88" s="2211"/>
      <c r="K88" s="2211"/>
      <c r="L88" s="2229"/>
      <c r="M88" s="2202"/>
      <c r="N88" s="2202"/>
      <c r="O88" s="549" t="s">
        <v>94</v>
      </c>
      <c r="P88" s="560"/>
      <c r="Q88" s="561"/>
      <c r="R88" s="557"/>
      <c r="S88" s="557"/>
      <c r="T88" s="562"/>
      <c r="U88" s="562"/>
      <c r="V88" s="623"/>
      <c r="W88" s="562"/>
      <c r="X88" s="558"/>
      <c r="Y88" s="559"/>
      <c r="AB88" s="622"/>
      <c r="AC88" s="583">
        <f>H88</f>
        <v>0</v>
      </c>
      <c r="AD88" s="583">
        <f>AC88*0.03</f>
        <v>0</v>
      </c>
      <c r="AE88" s="608"/>
      <c r="AF88" s="610">
        <f>AC88-AD88</f>
        <v>0</v>
      </c>
      <c r="AG88" s="611">
        <f>AF88+AD88</f>
        <v>0</v>
      </c>
      <c r="AH88" s="609"/>
      <c r="AI88" s="583">
        <f>AC88</f>
        <v>0</v>
      </c>
      <c r="AJ88" s="583">
        <f>AI88*0.025</f>
        <v>0</v>
      </c>
      <c r="AK88" s="583">
        <f>AI88-AJ88</f>
        <v>0</v>
      </c>
    </row>
    <row r="89" spans="1:37" ht="13.8" customHeight="1" x14ac:dyDescent="0.25">
      <c r="A89" s="2253">
        <v>26</v>
      </c>
      <c r="B89" s="2128" t="s">
        <v>728</v>
      </c>
      <c r="C89" s="2256" t="s">
        <v>707</v>
      </c>
      <c r="D89" s="1156"/>
      <c r="E89" s="2206" t="s">
        <v>846</v>
      </c>
      <c r="F89" s="1150"/>
      <c r="G89" s="2232">
        <v>1903508.31</v>
      </c>
      <c r="H89" s="1260">
        <f>G89</f>
        <v>1903508.31</v>
      </c>
      <c r="I89" s="2209">
        <f>J89</f>
        <v>431420.28816498094</v>
      </c>
      <c r="J89" s="2209">
        <f>K89*0.414561030583245</f>
        <v>431420.28816498094</v>
      </c>
      <c r="K89" s="2209">
        <f>H89/1.82912206116649</f>
        <v>1040667.7336700382</v>
      </c>
      <c r="L89" s="2227"/>
      <c r="M89" s="2200" t="s">
        <v>90</v>
      </c>
      <c r="N89" s="2200" t="s">
        <v>91</v>
      </c>
      <c r="O89" s="549" t="s">
        <v>92</v>
      </c>
      <c r="P89" s="550">
        <f>Q89-7</f>
        <v>44137</v>
      </c>
      <c r="Q89" s="551">
        <f>R89-7</f>
        <v>44144</v>
      </c>
      <c r="R89" s="552">
        <v>44151</v>
      </c>
      <c r="S89" s="552">
        <f>R89+15</f>
        <v>44166</v>
      </c>
      <c r="T89" s="552">
        <f>S89+7</f>
        <v>44173</v>
      </c>
      <c r="U89" s="552">
        <f>T89+7</f>
        <v>44180</v>
      </c>
      <c r="V89" s="619"/>
      <c r="W89" s="552">
        <f>U89+7</f>
        <v>44187</v>
      </c>
      <c r="X89" s="553">
        <f>W89+7</f>
        <v>44194</v>
      </c>
      <c r="Y89" s="554">
        <f>X89+7</f>
        <v>44201</v>
      </c>
      <c r="Z89" s="554">
        <f>Y89+150</f>
        <v>44351</v>
      </c>
      <c r="AA89" s="554">
        <f>Z89+365</f>
        <v>44716</v>
      </c>
      <c r="AB89" s="620"/>
      <c r="AC89" s="583">
        <f t="shared" si="1"/>
        <v>1903508.31</v>
      </c>
      <c r="AD89" s="583">
        <f t="shared" si="2"/>
        <v>57105.249300000003</v>
      </c>
      <c r="AE89" s="608">
        <v>21</v>
      </c>
      <c r="AF89" s="610">
        <f t="shared" si="0"/>
        <v>1846403.0607</v>
      </c>
      <c r="AG89" s="611">
        <f t="shared" si="3"/>
        <v>1903508.31</v>
      </c>
      <c r="AH89" s="609">
        <v>5</v>
      </c>
      <c r="AI89" s="583">
        <f t="shared" si="4"/>
        <v>1903508.31</v>
      </c>
      <c r="AJ89" s="583">
        <f t="shared" si="5"/>
        <v>47587.707750000001</v>
      </c>
      <c r="AK89" s="583">
        <f t="shared" si="6"/>
        <v>1855920.60225</v>
      </c>
    </row>
    <row r="90" spans="1:37" x14ac:dyDescent="0.25">
      <c r="A90" s="2254"/>
      <c r="B90" s="2129"/>
      <c r="C90" s="2257"/>
      <c r="D90" s="1156">
        <v>1620</v>
      </c>
      <c r="E90" s="2207"/>
      <c r="F90" s="1151"/>
      <c r="G90" s="2233"/>
      <c r="H90" s="1261"/>
      <c r="I90" s="2210"/>
      <c r="J90" s="2210"/>
      <c r="K90" s="2210"/>
      <c r="L90" s="2228"/>
      <c r="M90" s="2201"/>
      <c r="N90" s="2201"/>
      <c r="O90" s="549" t="s">
        <v>93</v>
      </c>
      <c r="P90" s="555"/>
      <c r="Q90" s="556"/>
      <c r="R90" s="1058">
        <v>0</v>
      </c>
      <c r="S90" s="555"/>
      <c r="T90" s="555"/>
      <c r="U90" s="556"/>
      <c r="V90" s="621"/>
      <c r="W90" s="557"/>
      <c r="X90" s="558"/>
      <c r="Y90" s="559"/>
      <c r="Z90" s="568"/>
      <c r="AA90" s="559"/>
      <c r="AB90" s="622"/>
      <c r="AC90" s="583">
        <f t="shared" si="1"/>
        <v>0</v>
      </c>
      <c r="AD90" s="583">
        <f t="shared" si="2"/>
        <v>0</v>
      </c>
      <c r="AE90" s="608"/>
      <c r="AF90" s="610">
        <f t="shared" si="0"/>
        <v>0</v>
      </c>
      <c r="AG90" s="611">
        <f t="shared" si="3"/>
        <v>0</v>
      </c>
      <c r="AH90" s="609"/>
      <c r="AI90" s="583">
        <f t="shared" si="4"/>
        <v>0</v>
      </c>
      <c r="AJ90" s="583">
        <f t="shared" si="5"/>
        <v>0</v>
      </c>
      <c r="AK90" s="583">
        <f t="shared" si="6"/>
        <v>0</v>
      </c>
    </row>
    <row r="91" spans="1:37" x14ac:dyDescent="0.25">
      <c r="A91" s="2255"/>
      <c r="B91" s="2130"/>
      <c r="C91" s="2258"/>
      <c r="D91" s="1156"/>
      <c r="E91" s="2208"/>
      <c r="F91" s="1152"/>
      <c r="G91" s="2234"/>
      <c r="H91" s="1262"/>
      <c r="I91" s="2211"/>
      <c r="J91" s="2211"/>
      <c r="K91" s="2211"/>
      <c r="L91" s="2229"/>
      <c r="M91" s="2202"/>
      <c r="N91" s="2202"/>
      <c r="O91" s="549" t="s">
        <v>94</v>
      </c>
      <c r="P91" s="560"/>
      <c r="Q91" s="561"/>
      <c r="R91" s="557"/>
      <c r="S91" s="557"/>
      <c r="T91" s="562"/>
      <c r="U91" s="562"/>
      <c r="V91" s="623"/>
      <c r="W91" s="562"/>
      <c r="X91" s="558"/>
      <c r="Y91" s="559"/>
      <c r="AB91" s="622"/>
      <c r="AC91" s="583">
        <f t="shared" si="1"/>
        <v>0</v>
      </c>
      <c r="AD91" s="583">
        <f t="shared" si="2"/>
        <v>0</v>
      </c>
      <c r="AE91" s="608"/>
      <c r="AF91" s="610">
        <f t="shared" si="0"/>
        <v>0</v>
      </c>
      <c r="AG91" s="611">
        <f t="shared" si="3"/>
        <v>0</v>
      </c>
      <c r="AH91" s="609"/>
      <c r="AI91" s="583">
        <f t="shared" si="4"/>
        <v>0</v>
      </c>
      <c r="AJ91" s="583">
        <f t="shared" si="5"/>
        <v>0</v>
      </c>
      <c r="AK91" s="583">
        <f t="shared" si="6"/>
        <v>0</v>
      </c>
    </row>
    <row r="92" spans="1:37" ht="13.8" customHeight="1" x14ac:dyDescent="0.25">
      <c r="A92" s="2253">
        <v>27</v>
      </c>
      <c r="B92" s="2128" t="s">
        <v>729</v>
      </c>
      <c r="C92" s="2256" t="s">
        <v>707</v>
      </c>
      <c r="D92" s="1156"/>
      <c r="E92" s="2206" t="s">
        <v>847</v>
      </c>
      <c r="F92" s="1150"/>
      <c r="G92" s="2232">
        <v>2606027.61</v>
      </c>
      <c r="H92" s="1260">
        <f>G92</f>
        <v>2606027.61</v>
      </c>
      <c r="I92" s="2209">
        <f>J92</f>
        <v>590642.64472378197</v>
      </c>
      <c r="J92" s="2209">
        <f>K92*0.414561030583245</f>
        <v>590642.64472378197</v>
      </c>
      <c r="K92" s="2209">
        <f>H92/1.82912206116649</f>
        <v>1424742.3205524362</v>
      </c>
      <c r="L92" s="2227"/>
      <c r="M92" s="2200" t="s">
        <v>90</v>
      </c>
      <c r="N92" s="2200" t="s">
        <v>91</v>
      </c>
      <c r="O92" s="549" t="s">
        <v>92</v>
      </c>
      <c r="P92" s="550">
        <f>Q92-7</f>
        <v>44137</v>
      </c>
      <c r="Q92" s="551">
        <f>R92-7</f>
        <v>44144</v>
      </c>
      <c r="R92" s="552">
        <v>44151</v>
      </c>
      <c r="S92" s="552">
        <f>R92+15</f>
        <v>44166</v>
      </c>
      <c r="T92" s="552">
        <f>S92+7</f>
        <v>44173</v>
      </c>
      <c r="U92" s="552">
        <f>T92+7</f>
        <v>44180</v>
      </c>
      <c r="V92" s="619"/>
      <c r="W92" s="552">
        <f>U92+7</f>
        <v>44187</v>
      </c>
      <c r="X92" s="553">
        <f>W92+7</f>
        <v>44194</v>
      </c>
      <c r="Y92" s="554">
        <f>X92+7</f>
        <v>44201</v>
      </c>
      <c r="Z92" s="554">
        <f>Y92+150</f>
        <v>44351</v>
      </c>
      <c r="AA92" s="554">
        <f>Z92+365</f>
        <v>44716</v>
      </c>
      <c r="AB92" s="620"/>
      <c r="AC92" s="583">
        <f>H92</f>
        <v>2606027.61</v>
      </c>
      <c r="AD92" s="583">
        <f>AC92*0.03</f>
        <v>78180.828299999994</v>
      </c>
      <c r="AE92" s="608">
        <v>21</v>
      </c>
      <c r="AF92" s="610">
        <f>AC92-AD92</f>
        <v>2527846.7816999997</v>
      </c>
      <c r="AG92" s="611">
        <f>AF92+AD92</f>
        <v>2606027.61</v>
      </c>
      <c r="AH92" s="609">
        <v>5</v>
      </c>
      <c r="AI92" s="583">
        <f>AC92</f>
        <v>2606027.61</v>
      </c>
      <c r="AJ92" s="583">
        <f>AI92*0.025</f>
        <v>65150.69025</v>
      </c>
      <c r="AK92" s="583">
        <f>AI92-AJ92</f>
        <v>2540876.9197499999</v>
      </c>
    </row>
    <row r="93" spans="1:37" x14ac:dyDescent="0.25">
      <c r="A93" s="2254"/>
      <c r="B93" s="2129"/>
      <c r="C93" s="2257"/>
      <c r="D93" s="1156">
        <v>2160</v>
      </c>
      <c r="E93" s="2207"/>
      <c r="F93" s="1151"/>
      <c r="G93" s="2233"/>
      <c r="H93" s="1261"/>
      <c r="I93" s="2210"/>
      <c r="J93" s="2210"/>
      <c r="K93" s="2210"/>
      <c r="L93" s="2228"/>
      <c r="M93" s="2201"/>
      <c r="N93" s="2201"/>
      <c r="O93" s="549" t="s">
        <v>93</v>
      </c>
      <c r="P93" s="555"/>
      <c r="Q93" s="556"/>
      <c r="R93" s="1058">
        <v>0</v>
      </c>
      <c r="S93" s="555"/>
      <c r="T93" s="555"/>
      <c r="U93" s="556"/>
      <c r="V93" s="621"/>
      <c r="W93" s="557"/>
      <c r="X93" s="558"/>
      <c r="Y93" s="559"/>
      <c r="Z93" s="568"/>
      <c r="AA93" s="559"/>
      <c r="AB93" s="622"/>
      <c r="AC93" s="583">
        <f>H93</f>
        <v>0</v>
      </c>
      <c r="AD93" s="583">
        <f>AC93*0.03</f>
        <v>0</v>
      </c>
      <c r="AE93" s="608"/>
      <c r="AF93" s="610">
        <f>AC93-AD93</f>
        <v>0</v>
      </c>
      <c r="AG93" s="611">
        <f>AF93+AD93</f>
        <v>0</v>
      </c>
      <c r="AH93" s="609"/>
      <c r="AI93" s="583">
        <f>AC93</f>
        <v>0</v>
      </c>
      <c r="AJ93" s="583">
        <f>AI93*0.025</f>
        <v>0</v>
      </c>
      <c r="AK93" s="583">
        <f>AI93-AJ93</f>
        <v>0</v>
      </c>
    </row>
    <row r="94" spans="1:37" x14ac:dyDescent="0.25">
      <c r="A94" s="2255"/>
      <c r="B94" s="2130"/>
      <c r="C94" s="2258"/>
      <c r="D94" s="1156"/>
      <c r="E94" s="2208"/>
      <c r="F94" s="1152"/>
      <c r="G94" s="2234"/>
      <c r="H94" s="1262"/>
      <c r="I94" s="2211"/>
      <c r="J94" s="2211"/>
      <c r="K94" s="2211"/>
      <c r="L94" s="2229"/>
      <c r="M94" s="2202"/>
      <c r="N94" s="2202"/>
      <c r="O94" s="549" t="s">
        <v>94</v>
      </c>
      <c r="P94" s="560"/>
      <c r="Q94" s="561"/>
      <c r="R94" s="557"/>
      <c r="S94" s="557"/>
      <c r="T94" s="562"/>
      <c r="U94" s="562"/>
      <c r="V94" s="623"/>
      <c r="W94" s="562"/>
      <c r="X94" s="558"/>
      <c r="Y94" s="559"/>
      <c r="AB94" s="622"/>
      <c r="AC94" s="583">
        <f>H94</f>
        <v>0</v>
      </c>
      <c r="AD94" s="583">
        <f>AC94*0.03</f>
        <v>0</v>
      </c>
      <c r="AE94" s="608"/>
      <c r="AF94" s="610">
        <f>AC94-AD94</f>
        <v>0</v>
      </c>
      <c r="AG94" s="611">
        <f>AF94+AD94</f>
        <v>0</v>
      </c>
      <c r="AH94" s="609"/>
      <c r="AI94" s="583">
        <f>AC94</f>
        <v>0</v>
      </c>
      <c r="AJ94" s="583">
        <f>AI94*0.025</f>
        <v>0</v>
      </c>
      <c r="AK94" s="583">
        <f>AI94-AJ94</f>
        <v>0</v>
      </c>
    </row>
    <row r="95" spans="1:37" ht="13.8" customHeight="1" x14ac:dyDescent="0.25">
      <c r="A95" s="2253">
        <v>28</v>
      </c>
      <c r="B95" s="2128" t="s">
        <v>730</v>
      </c>
      <c r="C95" s="2256" t="s">
        <v>707</v>
      </c>
      <c r="D95" s="1156"/>
      <c r="E95" s="2206" t="s">
        <v>848</v>
      </c>
      <c r="F95" s="1150"/>
      <c r="G95" s="2232">
        <v>2484813.7599999998</v>
      </c>
      <c r="H95" s="1260">
        <f>G95</f>
        <v>2484813.7599999998</v>
      </c>
      <c r="I95" s="2209">
        <f>J95</f>
        <v>563170.15415367938</v>
      </c>
      <c r="J95" s="2209">
        <f>K95*0.414561030583245</f>
        <v>563170.15415367938</v>
      </c>
      <c r="K95" s="2209">
        <f>H95/1.82912206116649</f>
        <v>1358473.451692641</v>
      </c>
      <c r="L95" s="2227"/>
      <c r="M95" s="2200" t="s">
        <v>90</v>
      </c>
      <c r="N95" s="2200" t="s">
        <v>91</v>
      </c>
      <c r="O95" s="549" t="s">
        <v>92</v>
      </c>
      <c r="P95" s="550">
        <f>Q95-7</f>
        <v>44137</v>
      </c>
      <c r="Q95" s="551">
        <f>R95-7</f>
        <v>44144</v>
      </c>
      <c r="R95" s="552">
        <v>44151</v>
      </c>
      <c r="S95" s="552">
        <f>R95+15</f>
        <v>44166</v>
      </c>
      <c r="T95" s="552">
        <f>S95+7</f>
        <v>44173</v>
      </c>
      <c r="U95" s="552">
        <f>T95+7</f>
        <v>44180</v>
      </c>
      <c r="V95" s="619"/>
      <c r="W95" s="552">
        <f>U95+7</f>
        <v>44187</v>
      </c>
      <c r="X95" s="553">
        <f>W95+7</f>
        <v>44194</v>
      </c>
      <c r="Y95" s="554">
        <f>X95+7</f>
        <v>44201</v>
      </c>
      <c r="Z95" s="554">
        <f>Y95+150</f>
        <v>44351</v>
      </c>
      <c r="AA95" s="554">
        <f>Z95+365</f>
        <v>44716</v>
      </c>
      <c r="AB95" s="620"/>
      <c r="AC95" s="583">
        <f t="shared" si="1"/>
        <v>2484813.7599999998</v>
      </c>
      <c r="AD95" s="583">
        <f t="shared" si="2"/>
        <v>74544.412799999991</v>
      </c>
      <c r="AE95" s="608">
        <v>21</v>
      </c>
      <c r="AF95" s="610">
        <f t="shared" si="0"/>
        <v>2410269.3471999997</v>
      </c>
      <c r="AG95" s="611">
        <f t="shared" si="3"/>
        <v>2484813.7599999998</v>
      </c>
      <c r="AH95" s="609">
        <v>5</v>
      </c>
      <c r="AI95" s="583">
        <f t="shared" si="4"/>
        <v>2484813.7599999998</v>
      </c>
      <c r="AJ95" s="583">
        <f t="shared" si="5"/>
        <v>62120.343999999997</v>
      </c>
      <c r="AK95" s="583">
        <f t="shared" si="6"/>
        <v>2422693.4159999997</v>
      </c>
    </row>
    <row r="96" spans="1:37" x14ac:dyDescent="0.25">
      <c r="A96" s="2254"/>
      <c r="B96" s="2129"/>
      <c r="C96" s="2257"/>
      <c r="D96" s="1156">
        <v>1869</v>
      </c>
      <c r="E96" s="2207"/>
      <c r="F96" s="1151"/>
      <c r="G96" s="2233"/>
      <c r="H96" s="1261"/>
      <c r="I96" s="2210"/>
      <c r="J96" s="2210"/>
      <c r="K96" s="2210"/>
      <c r="L96" s="2228"/>
      <c r="M96" s="2201"/>
      <c r="N96" s="2201"/>
      <c r="O96" s="549" t="s">
        <v>93</v>
      </c>
      <c r="P96" s="555"/>
      <c r="Q96" s="556"/>
      <c r="R96" s="1058">
        <v>0</v>
      </c>
      <c r="S96" s="555"/>
      <c r="T96" s="555"/>
      <c r="U96" s="556"/>
      <c r="V96" s="621"/>
      <c r="W96" s="557"/>
      <c r="X96" s="558"/>
      <c r="Y96" s="559"/>
      <c r="Z96" s="568"/>
      <c r="AA96" s="559"/>
      <c r="AB96" s="622"/>
      <c r="AC96" s="583">
        <f t="shared" si="1"/>
        <v>0</v>
      </c>
      <c r="AD96" s="583">
        <f t="shared" si="2"/>
        <v>0</v>
      </c>
      <c r="AE96" s="608"/>
      <c r="AF96" s="610">
        <f t="shared" si="0"/>
        <v>0</v>
      </c>
      <c r="AG96" s="611">
        <f t="shared" si="3"/>
        <v>0</v>
      </c>
      <c r="AH96" s="609"/>
      <c r="AI96" s="583">
        <f t="shared" si="4"/>
        <v>0</v>
      </c>
      <c r="AJ96" s="583">
        <f t="shared" si="5"/>
        <v>0</v>
      </c>
      <c r="AK96" s="583">
        <f t="shared" si="6"/>
        <v>0</v>
      </c>
    </row>
    <row r="97" spans="1:38" x14ac:dyDescent="0.25">
      <c r="A97" s="2255"/>
      <c r="B97" s="2130"/>
      <c r="C97" s="2258"/>
      <c r="D97" s="1156"/>
      <c r="E97" s="2208"/>
      <c r="F97" s="1152"/>
      <c r="G97" s="2234"/>
      <c r="H97" s="1262"/>
      <c r="I97" s="2211"/>
      <c r="J97" s="2211"/>
      <c r="K97" s="2211"/>
      <c r="L97" s="2229"/>
      <c r="M97" s="2202"/>
      <c r="N97" s="2202"/>
      <c r="O97" s="549" t="s">
        <v>94</v>
      </c>
      <c r="P97" s="560"/>
      <c r="Q97" s="561"/>
      <c r="R97" s="557"/>
      <c r="S97" s="557"/>
      <c r="T97" s="562"/>
      <c r="U97" s="562"/>
      <c r="V97" s="623"/>
      <c r="W97" s="562"/>
      <c r="X97" s="558"/>
      <c r="Y97" s="559"/>
      <c r="AB97" s="622"/>
      <c r="AC97" s="583">
        <f t="shared" si="1"/>
        <v>0</v>
      </c>
      <c r="AD97" s="583">
        <f t="shared" si="2"/>
        <v>0</v>
      </c>
      <c r="AE97" s="608"/>
      <c r="AF97" s="610">
        <f t="shared" si="0"/>
        <v>0</v>
      </c>
      <c r="AG97" s="611">
        <f t="shared" si="3"/>
        <v>0</v>
      </c>
      <c r="AH97" s="609"/>
      <c r="AI97" s="583">
        <f t="shared" si="4"/>
        <v>0</v>
      </c>
      <c r="AJ97" s="583">
        <f t="shared" si="5"/>
        <v>0</v>
      </c>
      <c r="AK97" s="583">
        <f t="shared" si="6"/>
        <v>0</v>
      </c>
    </row>
    <row r="98" spans="1:38" ht="13.8" customHeight="1" x14ac:dyDescent="0.25">
      <c r="A98" s="2253">
        <v>29</v>
      </c>
      <c r="B98" s="2128" t="s">
        <v>731</v>
      </c>
      <c r="C98" s="2256" t="s">
        <v>707</v>
      </c>
      <c r="D98" s="1156"/>
      <c r="E98" s="2206" t="s">
        <v>849</v>
      </c>
      <c r="F98" s="1150"/>
      <c r="G98" s="2232">
        <v>1870967.11</v>
      </c>
      <c r="H98" s="1260">
        <f>G98</f>
        <v>1870967.11</v>
      </c>
      <c r="I98" s="2209">
        <f>J98</f>
        <v>424044.99392146163</v>
      </c>
      <c r="J98" s="2209">
        <f>K98*0.414561030583245</f>
        <v>424044.99392146163</v>
      </c>
      <c r="K98" s="2209">
        <f>H98/1.82912206116649</f>
        <v>1022877.122157077</v>
      </c>
      <c r="L98" s="2227"/>
      <c r="M98" s="2200" t="s">
        <v>90</v>
      </c>
      <c r="N98" s="2200" t="s">
        <v>91</v>
      </c>
      <c r="O98" s="549" t="s">
        <v>92</v>
      </c>
      <c r="P98" s="550">
        <f>Q98-7</f>
        <v>44137</v>
      </c>
      <c r="Q98" s="551">
        <f>R98-7</f>
        <v>44144</v>
      </c>
      <c r="R98" s="552">
        <v>44151</v>
      </c>
      <c r="S98" s="552">
        <f>R98+15</f>
        <v>44166</v>
      </c>
      <c r="T98" s="552">
        <f>S98+7</f>
        <v>44173</v>
      </c>
      <c r="U98" s="552">
        <f>T98+7</f>
        <v>44180</v>
      </c>
      <c r="V98" s="619"/>
      <c r="W98" s="552">
        <f>U98+7</f>
        <v>44187</v>
      </c>
      <c r="X98" s="553">
        <f>W98+7</f>
        <v>44194</v>
      </c>
      <c r="Y98" s="554">
        <f>X98+7</f>
        <v>44201</v>
      </c>
      <c r="Z98" s="554">
        <f>Y98+150</f>
        <v>44351</v>
      </c>
      <c r="AA98" s="554">
        <f>Z98+365</f>
        <v>44716</v>
      </c>
      <c r="AB98" s="620"/>
      <c r="AC98" s="583">
        <f>H98</f>
        <v>1870967.11</v>
      </c>
      <c r="AD98" s="583">
        <f>AC98*0.03</f>
        <v>56129.013299999999</v>
      </c>
      <c r="AE98" s="608">
        <v>21</v>
      </c>
      <c r="AF98" s="610">
        <f>AC98-AD98</f>
        <v>1814838.0967000001</v>
      </c>
      <c r="AG98" s="611">
        <f>AF98+AD98</f>
        <v>1870967.11</v>
      </c>
      <c r="AH98" s="609">
        <v>5</v>
      </c>
      <c r="AI98" s="583">
        <f>AC98</f>
        <v>1870967.11</v>
      </c>
      <c r="AJ98" s="583">
        <f>AI98*0.025</f>
        <v>46774.177750000003</v>
      </c>
      <c r="AK98" s="583">
        <f>AI98-AJ98</f>
        <v>1824192.9322500001</v>
      </c>
    </row>
    <row r="99" spans="1:38" x14ac:dyDescent="0.25">
      <c r="A99" s="2254"/>
      <c r="B99" s="2129"/>
      <c r="C99" s="2257"/>
      <c r="D99" s="1156">
        <v>1520</v>
      </c>
      <c r="E99" s="2207"/>
      <c r="F99" s="1151"/>
      <c r="G99" s="2233"/>
      <c r="H99" s="1261"/>
      <c r="I99" s="2210"/>
      <c r="J99" s="2210"/>
      <c r="K99" s="2210"/>
      <c r="L99" s="2228"/>
      <c r="M99" s="2201"/>
      <c r="N99" s="2201"/>
      <c r="O99" s="549" t="s">
        <v>93</v>
      </c>
      <c r="P99" s="555"/>
      <c r="Q99" s="556"/>
      <c r="R99" s="1058">
        <v>0</v>
      </c>
      <c r="S99" s="555"/>
      <c r="T99" s="555"/>
      <c r="U99" s="556"/>
      <c r="V99" s="621"/>
      <c r="W99" s="557"/>
      <c r="X99" s="558"/>
      <c r="Y99" s="559"/>
      <c r="Z99" s="568"/>
      <c r="AA99" s="559"/>
      <c r="AB99" s="622"/>
      <c r="AC99" s="583">
        <f>H99</f>
        <v>0</v>
      </c>
      <c r="AD99" s="583">
        <f>AC99*0.03</f>
        <v>0</v>
      </c>
      <c r="AE99" s="608"/>
      <c r="AF99" s="610">
        <f>AC99-AD99</f>
        <v>0</v>
      </c>
      <c r="AG99" s="611">
        <f>AF99+AD99</f>
        <v>0</v>
      </c>
      <c r="AH99" s="609"/>
      <c r="AI99" s="583">
        <f>AC99</f>
        <v>0</v>
      </c>
      <c r="AJ99" s="583">
        <f>AI99*0.025</f>
        <v>0</v>
      </c>
      <c r="AK99" s="583">
        <f>AI99-AJ99</f>
        <v>0</v>
      </c>
    </row>
    <row r="100" spans="1:38" x14ac:dyDescent="0.25">
      <c r="A100" s="2255"/>
      <c r="B100" s="2130"/>
      <c r="C100" s="2258"/>
      <c r="D100" s="1156"/>
      <c r="E100" s="2208"/>
      <c r="F100" s="1152"/>
      <c r="G100" s="2234"/>
      <c r="H100" s="1262"/>
      <c r="I100" s="2211"/>
      <c r="J100" s="2211"/>
      <c r="K100" s="2211"/>
      <c r="L100" s="2229"/>
      <c r="M100" s="2202"/>
      <c r="N100" s="2202"/>
      <c r="O100" s="549" t="s">
        <v>94</v>
      </c>
      <c r="P100" s="560"/>
      <c r="Q100" s="561"/>
      <c r="R100" s="557"/>
      <c r="S100" s="557"/>
      <c r="T100" s="562"/>
      <c r="U100" s="562"/>
      <c r="V100" s="623"/>
      <c r="W100" s="562"/>
      <c r="X100" s="558"/>
      <c r="Y100" s="559"/>
      <c r="AB100" s="622"/>
      <c r="AC100" s="583">
        <f>H100</f>
        <v>0</v>
      </c>
      <c r="AD100" s="583">
        <f>AC100*0.03</f>
        <v>0</v>
      </c>
      <c r="AE100" s="608"/>
      <c r="AF100" s="610">
        <f>AC100-AD100</f>
        <v>0</v>
      </c>
      <c r="AG100" s="611">
        <f>AF100+AD100</f>
        <v>0</v>
      </c>
      <c r="AH100" s="609"/>
      <c r="AI100" s="583">
        <f>AC100</f>
        <v>0</v>
      </c>
      <c r="AJ100" s="583">
        <f>AI100*0.025</f>
        <v>0</v>
      </c>
      <c r="AK100" s="583">
        <f>AI100-AJ100</f>
        <v>0</v>
      </c>
    </row>
    <row r="101" spans="1:38" ht="13.8" customHeight="1" x14ac:dyDescent="0.25">
      <c r="A101" s="2253">
        <v>30</v>
      </c>
      <c r="B101" s="2128" t="s">
        <v>732</v>
      </c>
      <c r="C101" s="2256" t="s">
        <v>707</v>
      </c>
      <c r="D101" s="1156"/>
      <c r="E101" s="2206" t="s">
        <v>850</v>
      </c>
      <c r="F101" s="1150"/>
      <c r="G101" s="2232">
        <v>2147879.7999999998</v>
      </c>
      <c r="H101" s="1260">
        <f>G101</f>
        <v>2147879.7999999998</v>
      </c>
      <c r="I101" s="2209">
        <f>J101</f>
        <v>486805.81922951608</v>
      </c>
      <c r="J101" s="2209">
        <f>K101*0.414561030583245</f>
        <v>486805.81922951608</v>
      </c>
      <c r="K101" s="2209">
        <f>H101/1.82912206116649</f>
        <v>1174268.1615409679</v>
      </c>
      <c r="L101" s="2227"/>
      <c r="M101" s="2200" t="s">
        <v>90</v>
      </c>
      <c r="N101" s="2200" t="s">
        <v>91</v>
      </c>
      <c r="O101" s="549" t="s">
        <v>92</v>
      </c>
      <c r="P101" s="550">
        <f>Q101-7</f>
        <v>44137</v>
      </c>
      <c r="Q101" s="551">
        <f>R101-7</f>
        <v>44144</v>
      </c>
      <c r="R101" s="552">
        <v>44151</v>
      </c>
      <c r="S101" s="552">
        <f>R101+15</f>
        <v>44166</v>
      </c>
      <c r="T101" s="552">
        <f>S101+7</f>
        <v>44173</v>
      </c>
      <c r="U101" s="552">
        <f>T101+7</f>
        <v>44180</v>
      </c>
      <c r="V101" s="619"/>
      <c r="W101" s="552">
        <f>U101+7</f>
        <v>44187</v>
      </c>
      <c r="X101" s="553">
        <f>W101+7</f>
        <v>44194</v>
      </c>
      <c r="Y101" s="554">
        <f>X101+7</f>
        <v>44201</v>
      </c>
      <c r="Z101" s="554">
        <f>Y101+150</f>
        <v>44351</v>
      </c>
      <c r="AA101" s="554">
        <f>Z101+365</f>
        <v>44716</v>
      </c>
      <c r="AB101" s="620"/>
      <c r="AC101" s="583">
        <f t="shared" si="1"/>
        <v>2147879.7999999998</v>
      </c>
      <c r="AD101" s="583">
        <f t="shared" si="2"/>
        <v>64436.393999999993</v>
      </c>
      <c r="AE101" s="608">
        <v>21</v>
      </c>
      <c r="AF101" s="610">
        <f t="shared" si="0"/>
        <v>2083443.4059999997</v>
      </c>
      <c r="AG101" s="611">
        <f t="shared" si="3"/>
        <v>2147879.7999999998</v>
      </c>
      <c r="AH101" s="609">
        <v>5</v>
      </c>
      <c r="AI101" s="583">
        <f t="shared" si="4"/>
        <v>2147879.7999999998</v>
      </c>
      <c r="AJ101" s="583">
        <f t="shared" si="5"/>
        <v>53696.994999999995</v>
      </c>
      <c r="AK101" s="583">
        <f t="shared" si="6"/>
        <v>2094182.8049999997</v>
      </c>
    </row>
    <row r="102" spans="1:38" x14ac:dyDescent="0.25">
      <c r="A102" s="2254"/>
      <c r="B102" s="2129"/>
      <c r="C102" s="2257"/>
      <c r="D102" s="1156">
        <v>1760</v>
      </c>
      <c r="E102" s="2207"/>
      <c r="F102" s="1151"/>
      <c r="G102" s="2233"/>
      <c r="H102" s="1261"/>
      <c r="I102" s="2210"/>
      <c r="J102" s="2210"/>
      <c r="K102" s="2210"/>
      <c r="L102" s="2228"/>
      <c r="M102" s="2201"/>
      <c r="N102" s="2201"/>
      <c r="O102" s="549" t="s">
        <v>93</v>
      </c>
      <c r="P102" s="555"/>
      <c r="Q102" s="556"/>
      <c r="R102" s="1058">
        <v>0</v>
      </c>
      <c r="S102" s="555"/>
      <c r="T102" s="555"/>
      <c r="U102" s="556"/>
      <c r="V102" s="621"/>
      <c r="W102" s="557"/>
      <c r="X102" s="558"/>
      <c r="Y102" s="559"/>
      <c r="Z102" s="568"/>
      <c r="AA102" s="559"/>
      <c r="AB102" s="622"/>
      <c r="AC102" s="583">
        <f t="shared" si="1"/>
        <v>0</v>
      </c>
      <c r="AD102" s="583">
        <f t="shared" si="2"/>
        <v>0</v>
      </c>
      <c r="AE102" s="608"/>
      <c r="AF102" s="610">
        <f t="shared" si="0"/>
        <v>0</v>
      </c>
      <c r="AG102" s="611">
        <f t="shared" si="3"/>
        <v>0</v>
      </c>
      <c r="AH102" s="609"/>
      <c r="AI102" s="583">
        <f t="shared" si="4"/>
        <v>0</v>
      </c>
      <c r="AJ102" s="583">
        <f t="shared" si="5"/>
        <v>0</v>
      </c>
      <c r="AK102" s="583">
        <f t="shared" si="6"/>
        <v>0</v>
      </c>
    </row>
    <row r="103" spans="1:38" x14ac:dyDescent="0.25">
      <c r="A103" s="2255"/>
      <c r="B103" s="2130"/>
      <c r="C103" s="2258"/>
      <c r="D103" s="1156"/>
      <c r="E103" s="2208"/>
      <c r="F103" s="1152"/>
      <c r="G103" s="2234"/>
      <c r="H103" s="1262"/>
      <c r="I103" s="2211"/>
      <c r="J103" s="2211"/>
      <c r="K103" s="2211"/>
      <c r="L103" s="2229"/>
      <c r="M103" s="2202"/>
      <c r="N103" s="2202"/>
      <c r="O103" s="549" t="s">
        <v>94</v>
      </c>
      <c r="P103" s="560"/>
      <c r="Q103" s="561"/>
      <c r="R103" s="557"/>
      <c r="S103" s="557"/>
      <c r="T103" s="562"/>
      <c r="U103" s="562"/>
      <c r="V103" s="623"/>
      <c r="W103" s="562"/>
      <c r="X103" s="558"/>
      <c r="Y103" s="559"/>
      <c r="AB103" s="622"/>
      <c r="AC103" s="583">
        <f t="shared" si="1"/>
        <v>0</v>
      </c>
      <c r="AD103" s="583">
        <f t="shared" si="2"/>
        <v>0</v>
      </c>
      <c r="AE103" s="608"/>
      <c r="AF103" s="610">
        <f t="shared" si="0"/>
        <v>0</v>
      </c>
      <c r="AG103" s="611">
        <f t="shared" si="3"/>
        <v>0</v>
      </c>
      <c r="AH103" s="609"/>
      <c r="AI103" s="583">
        <f t="shared" si="4"/>
        <v>0</v>
      </c>
      <c r="AJ103" s="583">
        <f t="shared" si="5"/>
        <v>0</v>
      </c>
      <c r="AK103" s="583">
        <f t="shared" si="6"/>
        <v>0</v>
      </c>
    </row>
    <row r="104" spans="1:38" s="1248" customFormat="1" ht="15.6" x14ac:dyDescent="0.3">
      <c r="A104" s="1234"/>
      <c r="B104" s="1235" t="s">
        <v>95</v>
      </c>
      <c r="C104" s="1236"/>
      <c r="D104" s="1237">
        <f>SUM(D14:D103)</f>
        <v>61486</v>
      </c>
      <c r="E104" s="1237"/>
      <c r="F104" s="1237"/>
      <c r="G104" s="1237">
        <f>SUM(G14:G103)</f>
        <v>77970295.160000011</v>
      </c>
      <c r="H104" s="1237">
        <f>SUM(H14:H103)</f>
        <v>77970295.160000011</v>
      </c>
      <c r="I104" s="1237">
        <f>SUM(I14:I103)</f>
        <v>17671563.097213808</v>
      </c>
      <c r="J104" s="1237">
        <f>SUM(J14:J103)</f>
        <v>17671563.097213808</v>
      </c>
      <c r="K104" s="1237">
        <f>SUM(K14:K103)</f>
        <v>42627168.965572394</v>
      </c>
      <c r="L104" s="1236"/>
      <c r="M104" s="1236"/>
      <c r="N104" s="1236"/>
      <c r="O104" s="1238"/>
      <c r="P104" s="1236"/>
      <c r="Q104" s="1236"/>
      <c r="R104" s="1236"/>
      <c r="S104" s="1236"/>
      <c r="T104" s="1236"/>
      <c r="U104" s="1236"/>
      <c r="V104" s="1239">
        <f>SUM(V14:V103)</f>
        <v>0</v>
      </c>
      <c r="W104" s="1236"/>
      <c r="X104" s="1240"/>
      <c r="Y104" s="1241"/>
      <c r="Z104" s="1241"/>
      <c r="AA104" s="1241"/>
      <c r="AB104" s="1242"/>
      <c r="AC104" s="1243">
        <f>H104</f>
        <v>77970295.160000011</v>
      </c>
      <c r="AD104" s="1243">
        <f>AC104*0.03</f>
        <v>2339108.8548000003</v>
      </c>
      <c r="AE104" s="1244"/>
      <c r="AF104" s="1245">
        <f>AC104-AD104</f>
        <v>75631186.305200011</v>
      </c>
      <c r="AG104" s="1246">
        <f>AF104+AD104</f>
        <v>77970295.160000011</v>
      </c>
      <c r="AH104" s="1247"/>
      <c r="AI104" s="1243">
        <f>AC104</f>
        <v>77970295.160000011</v>
      </c>
      <c r="AJ104" s="1243">
        <f>AI104*0.025</f>
        <v>1949257.3790000004</v>
      </c>
      <c r="AK104" s="1243">
        <f>AI104-AJ104</f>
        <v>76021037.781000018</v>
      </c>
    </row>
    <row r="105" spans="1:38" s="1183" customFormat="1" ht="15.6" x14ac:dyDescent="0.3">
      <c r="A105" s="1188"/>
      <c r="B105" s="1189" t="s">
        <v>24</v>
      </c>
      <c r="C105" s="1190"/>
      <c r="D105" s="1191"/>
      <c r="E105" s="1190"/>
      <c r="F105" s="1190"/>
      <c r="G105" s="1192"/>
      <c r="H105" s="1192"/>
      <c r="I105" s="1192"/>
      <c r="J105" s="1192"/>
      <c r="K105" s="1192"/>
      <c r="L105" s="1193"/>
      <c r="M105" s="1194"/>
      <c r="N105" s="1190"/>
      <c r="O105" s="1195"/>
      <c r="P105" s="1190"/>
      <c r="Q105" s="1190"/>
      <c r="R105" s="1190"/>
      <c r="S105" s="1190"/>
      <c r="T105" s="1190"/>
      <c r="U105" s="1190"/>
      <c r="V105" s="1196"/>
      <c r="W105" s="1190"/>
      <c r="X105" s="1197"/>
      <c r="Y105" s="1198"/>
      <c r="Z105" s="1198"/>
      <c r="AA105" s="1198"/>
      <c r="AB105" s="1199"/>
      <c r="AE105" s="1184"/>
      <c r="AF105" s="1185"/>
      <c r="AG105" s="1200">
        <f>AF105+AD105</f>
        <v>0</v>
      </c>
      <c r="AH105" s="1187"/>
      <c r="AJ105" s="1201">
        <f>AI105*0.025</f>
        <v>0</v>
      </c>
      <c r="AK105" s="1201">
        <f>AI105-AJ105</f>
        <v>0</v>
      </c>
    </row>
    <row r="106" spans="1:38" ht="14.4" thickBot="1" x14ac:dyDescent="0.3">
      <c r="A106" s="2204">
        <v>31</v>
      </c>
      <c r="B106" s="2099" t="s">
        <v>733</v>
      </c>
      <c r="C106" s="2205" t="s">
        <v>97</v>
      </c>
      <c r="D106" s="1322">
        <v>412</v>
      </c>
      <c r="E106" s="2206" t="s">
        <v>851</v>
      </c>
      <c r="F106" s="1150"/>
      <c r="G106" s="2232">
        <v>1544014.58</v>
      </c>
      <c r="H106" s="1412">
        <f>G106</f>
        <v>1544014.58</v>
      </c>
      <c r="I106" s="2209">
        <f>J106</f>
        <v>349942.89834990638</v>
      </c>
      <c r="J106" s="2209">
        <f>K106*0.414561030583245</f>
        <v>349942.89834990638</v>
      </c>
      <c r="K106" s="2209">
        <f>H106/1.82912206116649</f>
        <v>844128.78330018732</v>
      </c>
      <c r="L106" s="2212"/>
      <c r="M106" s="2200" t="s">
        <v>90</v>
      </c>
      <c r="N106" s="2203" t="s">
        <v>91</v>
      </c>
      <c r="O106" s="549" t="s">
        <v>92</v>
      </c>
      <c r="P106" s="550">
        <f>Q106-7</f>
        <v>44144</v>
      </c>
      <c r="Q106" s="551">
        <f>R106-7</f>
        <v>44151</v>
      </c>
      <c r="R106" s="552">
        <v>44158</v>
      </c>
      <c r="S106" s="552">
        <f>R106+15</f>
        <v>44173</v>
      </c>
      <c r="T106" s="552">
        <f>S106+7</f>
        <v>44180</v>
      </c>
      <c r="U106" s="552">
        <f>T106+7</f>
        <v>44187</v>
      </c>
      <c r="V106" s="619"/>
      <c r="W106" s="552">
        <f>U106+7</f>
        <v>44194</v>
      </c>
      <c r="X106" s="553">
        <f>W106+7</f>
        <v>44201</v>
      </c>
      <c r="Y106" s="554">
        <f>X106+7</f>
        <v>44208</v>
      </c>
      <c r="Z106" s="554">
        <f>Y106+150</f>
        <v>44358</v>
      </c>
      <c r="AA106" s="554">
        <f>Z106+365</f>
        <v>44723</v>
      </c>
      <c r="AB106" s="620"/>
      <c r="AE106" s="612"/>
      <c r="AF106" s="613"/>
      <c r="AG106" s="614"/>
      <c r="AH106" s="615"/>
      <c r="AK106" s="583">
        <f>AF106</f>
        <v>0</v>
      </c>
    </row>
    <row r="107" spans="1:38" ht="14.4" customHeight="1" x14ac:dyDescent="0.25">
      <c r="A107" s="2204"/>
      <c r="B107" s="2099"/>
      <c r="C107" s="2205"/>
      <c r="D107" s="1323"/>
      <c r="E107" s="2207"/>
      <c r="F107" s="1151"/>
      <c r="G107" s="2233"/>
      <c r="H107" s="1413"/>
      <c r="I107" s="2210"/>
      <c r="J107" s="2210"/>
      <c r="K107" s="2210"/>
      <c r="L107" s="2212"/>
      <c r="M107" s="2201"/>
      <c r="N107" s="2203"/>
      <c r="O107" s="549" t="s">
        <v>93</v>
      </c>
      <c r="P107" s="555"/>
      <c r="Q107" s="556"/>
      <c r="R107" s="555"/>
      <c r="S107" s="555"/>
      <c r="T107" s="555"/>
      <c r="U107" s="556"/>
      <c r="V107" s="621"/>
      <c r="W107" s="557"/>
      <c r="X107" s="558"/>
      <c r="Y107" s="559"/>
      <c r="Z107" s="568"/>
      <c r="AA107" s="559"/>
      <c r="AB107" s="598"/>
    </row>
    <row r="108" spans="1:38" ht="14.4" customHeight="1" x14ac:dyDescent="0.25">
      <c r="A108" s="2204"/>
      <c r="B108" s="2099"/>
      <c r="C108" s="2205"/>
      <c r="D108" s="1324"/>
      <c r="E108" s="2208"/>
      <c r="F108" s="1152"/>
      <c r="G108" s="2234"/>
      <c r="H108" s="1414"/>
      <c r="I108" s="2211"/>
      <c r="J108" s="2211"/>
      <c r="K108" s="2211"/>
      <c r="L108" s="2212"/>
      <c r="M108" s="2202"/>
      <c r="N108" s="2203"/>
      <c r="O108" s="549" t="s">
        <v>94</v>
      </c>
      <c r="P108" s="560"/>
      <c r="Q108" s="561"/>
      <c r="R108" s="557"/>
      <c r="S108" s="557"/>
      <c r="T108" s="562"/>
      <c r="U108" s="562"/>
      <c r="V108" s="623"/>
      <c r="W108" s="562"/>
      <c r="X108" s="558"/>
      <c r="Y108" s="559"/>
      <c r="AB108" s="598"/>
      <c r="AF108" s="583">
        <f>AC104-AF104</f>
        <v>2339108.8548000008</v>
      </c>
      <c r="AG108" s="583"/>
    </row>
    <row r="109" spans="1:38" x14ac:dyDescent="0.25">
      <c r="A109" s="2204">
        <v>32</v>
      </c>
      <c r="B109" s="2103" t="s">
        <v>734</v>
      </c>
      <c r="C109" s="2205" t="s">
        <v>97</v>
      </c>
      <c r="D109" s="1322">
        <v>280</v>
      </c>
      <c r="E109" s="2206" t="s">
        <v>852</v>
      </c>
      <c r="F109" s="1150"/>
      <c r="G109" s="2232">
        <v>1030416.91</v>
      </c>
      <c r="H109" s="1412">
        <f>G109</f>
        <v>1030416.91</v>
      </c>
      <c r="I109" s="2209">
        <f>J109</f>
        <v>233538.64961181561</v>
      </c>
      <c r="J109" s="2209">
        <f>K109*0.414561030583245</f>
        <v>233538.64961181561</v>
      </c>
      <c r="K109" s="2209">
        <f>H109/1.82912206116649</f>
        <v>563339.61077636888</v>
      </c>
      <c r="L109" s="2212"/>
      <c r="M109" s="2200" t="s">
        <v>90</v>
      </c>
      <c r="N109" s="2203" t="s">
        <v>91</v>
      </c>
      <c r="O109" s="549" t="s">
        <v>92</v>
      </c>
      <c r="P109" s="550">
        <f>Q109-7</f>
        <v>44144</v>
      </c>
      <c r="Q109" s="551">
        <f>R109-7</f>
        <v>44151</v>
      </c>
      <c r="R109" s="552">
        <v>44158</v>
      </c>
      <c r="S109" s="552">
        <f>R109+15</f>
        <v>44173</v>
      </c>
      <c r="T109" s="552">
        <f>S109+7</f>
        <v>44180</v>
      </c>
      <c r="U109" s="552">
        <f>T109+7</f>
        <v>44187</v>
      </c>
      <c r="V109" s="619"/>
      <c r="W109" s="552">
        <f>U109+7</f>
        <v>44194</v>
      </c>
      <c r="X109" s="553">
        <f>W109+7</f>
        <v>44201</v>
      </c>
      <c r="Y109" s="554">
        <f>X109+7</f>
        <v>44208</v>
      </c>
      <c r="Z109" s="554">
        <f>Y109+150</f>
        <v>44358</v>
      </c>
      <c r="AA109" s="554">
        <f>Z109+365</f>
        <v>44723</v>
      </c>
      <c r="AB109" s="620"/>
      <c r="AI109" s="583">
        <f>AF108-AL109</f>
        <v>389851.47580000758</v>
      </c>
      <c r="AL109" s="583">
        <f>AI104-AK104</f>
        <v>1949257.3789999932</v>
      </c>
    </row>
    <row r="110" spans="1:38" ht="14.4" customHeight="1" x14ac:dyDescent="0.25">
      <c r="A110" s="2204"/>
      <c r="B110" s="2103"/>
      <c r="C110" s="2205"/>
      <c r="D110" s="1323"/>
      <c r="E110" s="2207"/>
      <c r="F110" s="1151"/>
      <c r="G110" s="2233"/>
      <c r="H110" s="1413"/>
      <c r="I110" s="2210"/>
      <c r="J110" s="2210"/>
      <c r="K110" s="2210"/>
      <c r="L110" s="2212"/>
      <c r="M110" s="2201"/>
      <c r="N110" s="2203"/>
      <c r="O110" s="549" t="s">
        <v>93</v>
      </c>
      <c r="P110" s="555"/>
      <c r="Q110" s="556"/>
      <c r="R110" s="555"/>
      <c r="S110" s="555"/>
      <c r="T110" s="555"/>
      <c r="U110" s="556"/>
      <c r="V110" s="621"/>
      <c r="W110" s="557"/>
      <c r="X110" s="558"/>
      <c r="Y110" s="559"/>
      <c r="Z110" s="568"/>
      <c r="AA110" s="559"/>
      <c r="AB110" s="598"/>
    </row>
    <row r="111" spans="1:38" ht="14.4" customHeight="1" x14ac:dyDescent="0.25">
      <c r="A111" s="2204"/>
      <c r="B111" s="2103"/>
      <c r="C111" s="2205"/>
      <c r="D111" s="1324"/>
      <c r="E111" s="2208"/>
      <c r="F111" s="1152"/>
      <c r="G111" s="2234"/>
      <c r="H111" s="1414"/>
      <c r="I111" s="2211"/>
      <c r="J111" s="2211"/>
      <c r="K111" s="2211"/>
      <c r="L111" s="2212"/>
      <c r="M111" s="2202"/>
      <c r="N111" s="2203"/>
      <c r="O111" s="549" t="s">
        <v>94</v>
      </c>
      <c r="P111" s="560"/>
      <c r="Q111" s="561"/>
      <c r="R111" s="557"/>
      <c r="S111" s="557"/>
      <c r="T111" s="562"/>
      <c r="U111" s="562"/>
      <c r="V111" s="623"/>
      <c r="W111" s="562"/>
      <c r="X111" s="558"/>
      <c r="Y111" s="559"/>
      <c r="AB111" s="598"/>
    </row>
    <row r="112" spans="1:38" x14ac:dyDescent="0.25">
      <c r="A112" s="2204">
        <v>33</v>
      </c>
      <c r="B112" s="2099" t="s">
        <v>735</v>
      </c>
      <c r="C112" s="2205" t="s">
        <v>97</v>
      </c>
      <c r="D112" s="1322">
        <v>134</v>
      </c>
      <c r="E112" s="2206" t="s">
        <v>853</v>
      </c>
      <c r="F112" s="1150"/>
      <c r="G112" s="2232">
        <v>576882.81999999995</v>
      </c>
      <c r="H112" s="1412">
        <f>G112</f>
        <v>576882.81999999995</v>
      </c>
      <c r="I112" s="2209">
        <f>J112</f>
        <v>130747.49983194284</v>
      </c>
      <c r="J112" s="2209">
        <f>K112*0.414561030583245</f>
        <v>130747.49983194284</v>
      </c>
      <c r="K112" s="2209">
        <f>H112/1.82912206116649</f>
        <v>315387.82033611427</v>
      </c>
      <c r="L112" s="2212"/>
      <c r="M112" s="2200" t="s">
        <v>90</v>
      </c>
      <c r="N112" s="2203" t="s">
        <v>91</v>
      </c>
      <c r="O112" s="549" t="s">
        <v>92</v>
      </c>
      <c r="P112" s="550">
        <f>Q112-7</f>
        <v>44144</v>
      </c>
      <c r="Q112" s="551">
        <f>R112-7</f>
        <v>44151</v>
      </c>
      <c r="R112" s="552">
        <v>44158</v>
      </c>
      <c r="S112" s="552">
        <f>R112+15</f>
        <v>44173</v>
      </c>
      <c r="T112" s="552">
        <f>S112+7</f>
        <v>44180</v>
      </c>
      <c r="U112" s="552">
        <f>T112+7</f>
        <v>44187</v>
      </c>
      <c r="V112" s="619"/>
      <c r="W112" s="552">
        <f>U112+7</f>
        <v>44194</v>
      </c>
      <c r="X112" s="553">
        <f>W112+7</f>
        <v>44201</v>
      </c>
      <c r="Y112" s="554">
        <f>X112+7</f>
        <v>44208</v>
      </c>
      <c r="Z112" s="554">
        <f>Y112+150</f>
        <v>44358</v>
      </c>
      <c r="AA112" s="554">
        <f>Z112+365</f>
        <v>44723</v>
      </c>
      <c r="AB112" s="620"/>
    </row>
    <row r="113" spans="1:28" ht="14.4" customHeight="1" x14ac:dyDescent="0.25">
      <c r="A113" s="2204"/>
      <c r="B113" s="2099"/>
      <c r="C113" s="2205"/>
      <c r="D113" s="1323"/>
      <c r="E113" s="2207"/>
      <c r="F113" s="1151"/>
      <c r="G113" s="2233"/>
      <c r="H113" s="1413"/>
      <c r="I113" s="2210"/>
      <c r="J113" s="2210"/>
      <c r="K113" s="2210"/>
      <c r="L113" s="2212"/>
      <c r="M113" s="2201"/>
      <c r="N113" s="2203"/>
      <c r="O113" s="549" t="s">
        <v>93</v>
      </c>
      <c r="P113" s="555"/>
      <c r="Q113" s="556"/>
      <c r="R113" s="555"/>
      <c r="S113" s="555"/>
      <c r="T113" s="555"/>
      <c r="U113" s="556"/>
      <c r="V113" s="621"/>
      <c r="W113" s="557"/>
      <c r="X113" s="558"/>
      <c r="Y113" s="559"/>
      <c r="Z113" s="568"/>
      <c r="AA113" s="559"/>
      <c r="AB113" s="598"/>
    </row>
    <row r="114" spans="1:28" ht="14.4" customHeight="1" x14ac:dyDescent="0.25">
      <c r="A114" s="2204"/>
      <c r="B114" s="2099"/>
      <c r="C114" s="2205"/>
      <c r="D114" s="1324"/>
      <c r="E114" s="2208"/>
      <c r="F114" s="1152"/>
      <c r="G114" s="2234"/>
      <c r="H114" s="1414"/>
      <c r="I114" s="2211"/>
      <c r="J114" s="2211"/>
      <c r="K114" s="2211"/>
      <c r="L114" s="2212"/>
      <c r="M114" s="2202"/>
      <c r="N114" s="2203"/>
      <c r="O114" s="549" t="s">
        <v>94</v>
      </c>
      <c r="P114" s="560"/>
      <c r="Q114" s="561"/>
      <c r="R114" s="557"/>
      <c r="S114" s="557"/>
      <c r="T114" s="562"/>
      <c r="U114" s="562"/>
      <c r="V114" s="623"/>
      <c r="W114" s="562"/>
      <c r="X114" s="558"/>
      <c r="Y114" s="559"/>
      <c r="AB114" s="598"/>
    </row>
    <row r="115" spans="1:28" ht="13.8" customHeight="1" x14ac:dyDescent="0.25">
      <c r="A115" s="2264">
        <v>34</v>
      </c>
      <c r="B115" s="2089" t="s">
        <v>736</v>
      </c>
      <c r="C115" s="2206" t="s">
        <v>97</v>
      </c>
      <c r="D115" s="1322">
        <v>170</v>
      </c>
      <c r="E115" s="2206" t="s">
        <v>854</v>
      </c>
      <c r="F115" s="1150"/>
      <c r="G115" s="2232">
        <v>688277.63</v>
      </c>
      <c r="H115" s="1412">
        <f>G115</f>
        <v>688277.63</v>
      </c>
      <c r="I115" s="2209">
        <f>J115</f>
        <v>155994.55590089341</v>
      </c>
      <c r="J115" s="2209">
        <f>K115*0.414561030583245</f>
        <v>155994.55590089341</v>
      </c>
      <c r="K115" s="2209">
        <f>H115/1.82912206116649</f>
        <v>376288.51819821319</v>
      </c>
      <c r="L115" s="2227"/>
      <c r="M115" s="2200" t="s">
        <v>90</v>
      </c>
      <c r="N115" s="2200" t="s">
        <v>91</v>
      </c>
      <c r="O115" s="549" t="s">
        <v>92</v>
      </c>
      <c r="P115" s="550">
        <f>Q115-7</f>
        <v>44144</v>
      </c>
      <c r="Q115" s="551">
        <f>R115-7</f>
        <v>44151</v>
      </c>
      <c r="R115" s="552">
        <v>44158</v>
      </c>
      <c r="S115" s="552">
        <f>R115+15</f>
        <v>44173</v>
      </c>
      <c r="T115" s="552">
        <f>S115+7</f>
        <v>44180</v>
      </c>
      <c r="U115" s="552">
        <f>T115+7</f>
        <v>44187</v>
      </c>
      <c r="V115" s="619"/>
      <c r="W115" s="552">
        <f>U115+7</f>
        <v>44194</v>
      </c>
      <c r="X115" s="553">
        <f>W115+7</f>
        <v>44201</v>
      </c>
      <c r="Y115" s="554">
        <f>X115+7</f>
        <v>44208</v>
      </c>
      <c r="Z115" s="554">
        <f>Y115+150</f>
        <v>44358</v>
      </c>
      <c r="AA115" s="554">
        <f>Z115+365</f>
        <v>44723</v>
      </c>
      <c r="AB115" s="620"/>
    </row>
    <row r="116" spans="1:28" ht="14.4" customHeight="1" x14ac:dyDescent="0.25">
      <c r="A116" s="2265"/>
      <c r="B116" s="2090"/>
      <c r="C116" s="2207"/>
      <c r="D116" s="1323"/>
      <c r="E116" s="2207"/>
      <c r="F116" s="1151"/>
      <c r="G116" s="2233"/>
      <c r="H116" s="1413"/>
      <c r="I116" s="2210"/>
      <c r="J116" s="2210"/>
      <c r="K116" s="2210"/>
      <c r="L116" s="2228"/>
      <c r="M116" s="2201"/>
      <c r="N116" s="2201"/>
      <c r="O116" s="549" t="s">
        <v>93</v>
      </c>
      <c r="P116" s="555"/>
      <c r="Q116" s="556"/>
      <c r="R116" s="555"/>
      <c r="S116" s="555"/>
      <c r="T116" s="555"/>
      <c r="U116" s="556"/>
      <c r="V116" s="621"/>
      <c r="W116" s="557"/>
      <c r="X116" s="558"/>
      <c r="Y116" s="559"/>
      <c r="Z116" s="568"/>
      <c r="AA116" s="559"/>
      <c r="AB116" s="598"/>
    </row>
    <row r="117" spans="1:28" ht="14.4" customHeight="1" x14ac:dyDescent="0.25">
      <c r="A117" s="2266"/>
      <c r="B117" s="2091"/>
      <c r="C117" s="2208"/>
      <c r="D117" s="1324"/>
      <c r="E117" s="2208"/>
      <c r="F117" s="1152"/>
      <c r="G117" s="2234"/>
      <c r="H117" s="1414"/>
      <c r="I117" s="2211"/>
      <c r="J117" s="2211"/>
      <c r="K117" s="2211"/>
      <c r="L117" s="2229"/>
      <c r="M117" s="2202"/>
      <c r="N117" s="2202"/>
      <c r="O117" s="549" t="s">
        <v>94</v>
      </c>
      <c r="P117" s="560"/>
      <c r="Q117" s="561"/>
      <c r="R117" s="557"/>
      <c r="S117" s="557"/>
      <c r="T117" s="562"/>
      <c r="U117" s="562"/>
      <c r="V117" s="623"/>
      <c r="W117" s="562"/>
      <c r="X117" s="558"/>
      <c r="Y117" s="559"/>
      <c r="AB117" s="598"/>
    </row>
    <row r="118" spans="1:28" x14ac:dyDescent="0.25">
      <c r="A118" s="2204">
        <v>35</v>
      </c>
      <c r="B118" s="2099" t="s">
        <v>737</v>
      </c>
      <c r="C118" s="2205" t="s">
        <v>97</v>
      </c>
      <c r="D118" s="1322">
        <v>310</v>
      </c>
      <c r="E118" s="2206" t="s">
        <v>855</v>
      </c>
      <c r="F118" s="1150"/>
      <c r="G118" s="2232">
        <v>1119713.45</v>
      </c>
      <c r="H118" s="1412">
        <f>G118</f>
        <v>1119713.45</v>
      </c>
      <c r="I118" s="2209">
        <f>J118</f>
        <v>253777.24737183048</v>
      </c>
      <c r="J118" s="2209">
        <f>K118*0.414561030583245</f>
        <v>253777.24737183048</v>
      </c>
      <c r="K118" s="2209">
        <f>H118/1.82912206116649</f>
        <v>612158.95525633905</v>
      </c>
      <c r="L118" s="2212"/>
      <c r="M118" s="2200" t="s">
        <v>90</v>
      </c>
      <c r="N118" s="2203" t="s">
        <v>91</v>
      </c>
      <c r="O118" s="549" t="s">
        <v>92</v>
      </c>
      <c r="P118" s="550">
        <f>Q118-7</f>
        <v>44144</v>
      </c>
      <c r="Q118" s="551">
        <f>R118-7</f>
        <v>44151</v>
      </c>
      <c r="R118" s="552">
        <v>44158</v>
      </c>
      <c r="S118" s="552">
        <f>R118+15</f>
        <v>44173</v>
      </c>
      <c r="T118" s="552">
        <f>S118+7</f>
        <v>44180</v>
      </c>
      <c r="U118" s="552">
        <f>T118+7</f>
        <v>44187</v>
      </c>
      <c r="V118" s="619"/>
      <c r="W118" s="552">
        <f>U118+7</f>
        <v>44194</v>
      </c>
      <c r="X118" s="553">
        <f>W118+7</f>
        <v>44201</v>
      </c>
      <c r="Y118" s="554">
        <f>X118+7</f>
        <v>44208</v>
      </c>
      <c r="Z118" s="554">
        <f>Y118+150</f>
        <v>44358</v>
      </c>
      <c r="AA118" s="554">
        <f>Z118+365</f>
        <v>44723</v>
      </c>
      <c r="AB118" s="620"/>
    </row>
    <row r="119" spans="1:28" ht="14.4" customHeight="1" x14ac:dyDescent="0.25">
      <c r="A119" s="2204"/>
      <c r="B119" s="2099"/>
      <c r="C119" s="2205"/>
      <c r="D119" s="1323"/>
      <c r="E119" s="2207"/>
      <c r="F119" s="1151"/>
      <c r="G119" s="2233"/>
      <c r="H119" s="1413"/>
      <c r="I119" s="2210"/>
      <c r="J119" s="2210"/>
      <c r="K119" s="2210"/>
      <c r="L119" s="2212"/>
      <c r="M119" s="2201"/>
      <c r="N119" s="2203"/>
      <c r="O119" s="549" t="s">
        <v>93</v>
      </c>
      <c r="P119" s="555"/>
      <c r="Q119" s="556"/>
      <c r="R119" s="555"/>
      <c r="S119" s="555"/>
      <c r="T119" s="555"/>
      <c r="U119" s="556"/>
      <c r="V119" s="621"/>
      <c r="W119" s="557"/>
      <c r="X119" s="558"/>
      <c r="Y119" s="559"/>
      <c r="Z119" s="568"/>
      <c r="AA119" s="559"/>
      <c r="AB119" s="598"/>
    </row>
    <row r="120" spans="1:28" ht="14.4" customHeight="1" x14ac:dyDescent="0.25">
      <c r="A120" s="2204"/>
      <c r="B120" s="2099"/>
      <c r="C120" s="2205"/>
      <c r="D120" s="1324"/>
      <c r="E120" s="2208"/>
      <c r="F120" s="1152"/>
      <c r="G120" s="2234"/>
      <c r="H120" s="1414"/>
      <c r="I120" s="2211"/>
      <c r="J120" s="2211"/>
      <c r="K120" s="2211"/>
      <c r="L120" s="2212"/>
      <c r="M120" s="2202"/>
      <c r="N120" s="2203"/>
      <c r="O120" s="549" t="s">
        <v>94</v>
      </c>
      <c r="P120" s="560"/>
      <c r="Q120" s="561"/>
      <c r="R120" s="557"/>
      <c r="S120" s="557"/>
      <c r="T120" s="562"/>
      <c r="U120" s="562"/>
      <c r="V120" s="623"/>
      <c r="W120" s="562"/>
      <c r="X120" s="558"/>
      <c r="Y120" s="559"/>
      <c r="AB120" s="598"/>
    </row>
    <row r="121" spans="1:28" x14ac:dyDescent="0.25">
      <c r="A121" s="2204">
        <v>36</v>
      </c>
      <c r="B121" s="2099" t="s">
        <v>738</v>
      </c>
      <c r="C121" s="2205" t="s">
        <v>97</v>
      </c>
      <c r="D121" s="1322">
        <v>350</v>
      </c>
      <c r="E121" s="2206" t="s">
        <v>856</v>
      </c>
      <c r="F121" s="1150"/>
      <c r="G121" s="2232">
        <v>1243485.46</v>
      </c>
      <c r="H121" s="1412">
        <f>G121</f>
        <v>1243485.46</v>
      </c>
      <c r="I121" s="2209">
        <f>J121</f>
        <v>281829.53164105903</v>
      </c>
      <c r="J121" s="2209">
        <f>K121*0.414561030583245</f>
        <v>281829.53164105903</v>
      </c>
      <c r="K121" s="2209">
        <f>H121/1.82912206116649</f>
        <v>679826.39671788178</v>
      </c>
      <c r="L121" s="2212"/>
      <c r="M121" s="2200" t="s">
        <v>90</v>
      </c>
      <c r="N121" s="2203" t="s">
        <v>91</v>
      </c>
      <c r="O121" s="549" t="s">
        <v>92</v>
      </c>
      <c r="P121" s="550">
        <f>Q121-7</f>
        <v>44144</v>
      </c>
      <c r="Q121" s="551">
        <f>R121-7</f>
        <v>44151</v>
      </c>
      <c r="R121" s="552">
        <v>44158</v>
      </c>
      <c r="S121" s="552">
        <f>R121+15</f>
        <v>44173</v>
      </c>
      <c r="T121" s="552">
        <f>S121+7</f>
        <v>44180</v>
      </c>
      <c r="U121" s="552">
        <f>T121+7</f>
        <v>44187</v>
      </c>
      <c r="V121" s="619"/>
      <c r="W121" s="552">
        <f>U121+7</f>
        <v>44194</v>
      </c>
      <c r="X121" s="553">
        <f>W121+7</f>
        <v>44201</v>
      </c>
      <c r="Y121" s="554">
        <f>X121+7</f>
        <v>44208</v>
      </c>
      <c r="Z121" s="554">
        <f>Y121+150</f>
        <v>44358</v>
      </c>
      <c r="AA121" s="554">
        <f>Z121+365</f>
        <v>44723</v>
      </c>
      <c r="AB121" s="620"/>
    </row>
    <row r="122" spans="1:28" ht="14.4" customHeight="1" x14ac:dyDescent="0.25">
      <c r="A122" s="2204"/>
      <c r="B122" s="2099"/>
      <c r="C122" s="2205"/>
      <c r="D122" s="1323"/>
      <c r="E122" s="2207"/>
      <c r="F122" s="1151"/>
      <c r="G122" s="2233"/>
      <c r="H122" s="1413"/>
      <c r="I122" s="2210"/>
      <c r="J122" s="2210"/>
      <c r="K122" s="2210"/>
      <c r="L122" s="2212"/>
      <c r="M122" s="2201"/>
      <c r="N122" s="2203"/>
      <c r="O122" s="549" t="s">
        <v>93</v>
      </c>
      <c r="P122" s="555"/>
      <c r="Q122" s="556"/>
      <c r="R122" s="555"/>
      <c r="S122" s="555"/>
      <c r="T122" s="555"/>
      <c r="U122" s="556"/>
      <c r="V122" s="621"/>
      <c r="W122" s="557"/>
      <c r="X122" s="558"/>
      <c r="Y122" s="559"/>
      <c r="Z122" s="568"/>
      <c r="AA122" s="559"/>
      <c r="AB122" s="598"/>
    </row>
    <row r="123" spans="1:28" ht="14.4" customHeight="1" x14ac:dyDescent="0.25">
      <c r="A123" s="2204"/>
      <c r="B123" s="2099"/>
      <c r="C123" s="2205"/>
      <c r="D123" s="1324"/>
      <c r="E123" s="2208"/>
      <c r="F123" s="1152"/>
      <c r="G123" s="2234"/>
      <c r="H123" s="1414"/>
      <c r="I123" s="2211"/>
      <c r="J123" s="2211"/>
      <c r="K123" s="2211"/>
      <c r="L123" s="2212"/>
      <c r="M123" s="2202"/>
      <c r="N123" s="2203"/>
      <c r="O123" s="549" t="s">
        <v>94</v>
      </c>
      <c r="P123" s="560"/>
      <c r="Q123" s="561"/>
      <c r="R123" s="557"/>
      <c r="S123" s="557"/>
      <c r="T123" s="562"/>
      <c r="U123" s="562"/>
      <c r="V123" s="623"/>
      <c r="W123" s="562"/>
      <c r="X123" s="558"/>
      <c r="Y123" s="559"/>
      <c r="AB123" s="598"/>
    </row>
    <row r="124" spans="1:28" x14ac:dyDescent="0.25">
      <c r="A124" s="2204">
        <v>37</v>
      </c>
      <c r="B124" s="2099" t="s">
        <v>739</v>
      </c>
      <c r="C124" s="2205" t="s">
        <v>97</v>
      </c>
      <c r="D124" s="1322">
        <v>130</v>
      </c>
      <c r="E124" s="2206" t="s">
        <v>857</v>
      </c>
      <c r="F124" s="1150"/>
      <c r="G124" s="2232">
        <v>566271.85</v>
      </c>
      <c r="H124" s="1412">
        <f>G124</f>
        <v>566271.85</v>
      </c>
      <c r="I124" s="2209">
        <f>J124</f>
        <v>128342.57850270002</v>
      </c>
      <c r="J124" s="2209">
        <f>K124*0.414561030583245</f>
        <v>128342.57850270002</v>
      </c>
      <c r="K124" s="2209">
        <f>H124/1.82912206116649</f>
        <v>309586.69299459993</v>
      </c>
      <c r="L124" s="2212"/>
      <c r="M124" s="2200" t="s">
        <v>90</v>
      </c>
      <c r="N124" s="2203" t="s">
        <v>91</v>
      </c>
      <c r="O124" s="549" t="s">
        <v>92</v>
      </c>
      <c r="P124" s="550">
        <f>Q124-7</f>
        <v>44144</v>
      </c>
      <c r="Q124" s="551">
        <f>R124-7</f>
        <v>44151</v>
      </c>
      <c r="R124" s="552">
        <v>44158</v>
      </c>
      <c r="S124" s="552">
        <f>R124+15</f>
        <v>44173</v>
      </c>
      <c r="T124" s="552">
        <f>S124+7</f>
        <v>44180</v>
      </c>
      <c r="U124" s="552">
        <f>T124+7</f>
        <v>44187</v>
      </c>
      <c r="V124" s="619"/>
      <c r="W124" s="552">
        <f>U124+7</f>
        <v>44194</v>
      </c>
      <c r="X124" s="553">
        <f>W124+7</f>
        <v>44201</v>
      </c>
      <c r="Y124" s="554">
        <f>X124+7</f>
        <v>44208</v>
      </c>
      <c r="Z124" s="554">
        <f>Y124+150</f>
        <v>44358</v>
      </c>
      <c r="AA124" s="554">
        <f>Z124+365</f>
        <v>44723</v>
      </c>
      <c r="AB124" s="620"/>
    </row>
    <row r="125" spans="1:28" ht="14.4" customHeight="1" x14ac:dyDescent="0.25">
      <c r="A125" s="2204"/>
      <c r="B125" s="2099"/>
      <c r="C125" s="2205"/>
      <c r="D125" s="1323"/>
      <c r="E125" s="2207"/>
      <c r="F125" s="1151"/>
      <c r="G125" s="2233"/>
      <c r="H125" s="1413"/>
      <c r="I125" s="2210"/>
      <c r="J125" s="2210"/>
      <c r="K125" s="2210"/>
      <c r="L125" s="2212"/>
      <c r="M125" s="2201"/>
      <c r="N125" s="2203"/>
      <c r="O125" s="549" t="s">
        <v>93</v>
      </c>
      <c r="P125" s="555"/>
      <c r="Q125" s="556"/>
      <c r="R125" s="555"/>
      <c r="S125" s="555"/>
      <c r="T125" s="555"/>
      <c r="U125" s="556"/>
      <c r="V125" s="621"/>
      <c r="W125" s="557"/>
      <c r="X125" s="558"/>
      <c r="Y125" s="559"/>
      <c r="Z125" s="568"/>
      <c r="AA125" s="559"/>
      <c r="AB125" s="598"/>
    </row>
    <row r="126" spans="1:28" ht="14.4" customHeight="1" x14ac:dyDescent="0.25">
      <c r="A126" s="2204"/>
      <c r="B126" s="2099"/>
      <c r="C126" s="2205"/>
      <c r="D126" s="1324"/>
      <c r="E126" s="2208"/>
      <c r="F126" s="1152"/>
      <c r="G126" s="2234"/>
      <c r="H126" s="1414"/>
      <c r="I126" s="2211"/>
      <c r="J126" s="2211"/>
      <c r="K126" s="2211"/>
      <c r="L126" s="2212"/>
      <c r="M126" s="2202"/>
      <c r="N126" s="2203"/>
      <c r="O126" s="549" t="s">
        <v>94</v>
      </c>
      <c r="P126" s="560"/>
      <c r="Q126" s="561"/>
      <c r="R126" s="557"/>
      <c r="S126" s="557"/>
      <c r="T126" s="562"/>
      <c r="U126" s="562"/>
      <c r="V126" s="623"/>
      <c r="W126" s="562"/>
      <c r="X126" s="558"/>
      <c r="Y126" s="559"/>
      <c r="AB126" s="598"/>
    </row>
    <row r="127" spans="1:28" x14ac:dyDescent="0.25">
      <c r="A127" s="2204">
        <v>38</v>
      </c>
      <c r="B127" s="2099" t="s">
        <v>740</v>
      </c>
      <c r="C127" s="2205" t="s">
        <v>97</v>
      </c>
      <c r="D127" s="1322">
        <v>220</v>
      </c>
      <c r="E127" s="2206" t="s">
        <v>858</v>
      </c>
      <c r="F127" s="1150"/>
      <c r="G127" s="2232">
        <v>842992.65</v>
      </c>
      <c r="H127" s="1412">
        <f>G127</f>
        <v>842992.65</v>
      </c>
      <c r="I127" s="2209">
        <f>J127</f>
        <v>191059.91293726524</v>
      </c>
      <c r="J127" s="2209">
        <f>K127*0.414561030583245</f>
        <v>191059.91293726524</v>
      </c>
      <c r="K127" s="2209">
        <f>H127/1.82912206116649</f>
        <v>460872.82412546949</v>
      </c>
      <c r="L127" s="2212"/>
      <c r="M127" s="2200" t="s">
        <v>90</v>
      </c>
      <c r="N127" s="2203" t="s">
        <v>91</v>
      </c>
      <c r="O127" s="549" t="s">
        <v>92</v>
      </c>
      <c r="P127" s="550">
        <f>Q127-7</f>
        <v>44144</v>
      </c>
      <c r="Q127" s="551">
        <f>R127-7</f>
        <v>44151</v>
      </c>
      <c r="R127" s="552">
        <v>44158</v>
      </c>
      <c r="S127" s="552">
        <f>R127+15</f>
        <v>44173</v>
      </c>
      <c r="T127" s="552">
        <f>S127+7</f>
        <v>44180</v>
      </c>
      <c r="U127" s="552">
        <f>T127+7</f>
        <v>44187</v>
      </c>
      <c r="V127" s="619"/>
      <c r="W127" s="552">
        <f>U127+7</f>
        <v>44194</v>
      </c>
      <c r="X127" s="553">
        <f>W127+7</f>
        <v>44201</v>
      </c>
      <c r="Y127" s="554">
        <f>X127+7</f>
        <v>44208</v>
      </c>
      <c r="Z127" s="554">
        <f>Y127+150</f>
        <v>44358</v>
      </c>
      <c r="AA127" s="554">
        <f>Z127+365</f>
        <v>44723</v>
      </c>
      <c r="AB127" s="620"/>
    </row>
    <row r="128" spans="1:28" ht="14.4" customHeight="1" x14ac:dyDescent="0.25">
      <c r="A128" s="2204"/>
      <c r="B128" s="2099"/>
      <c r="C128" s="2205"/>
      <c r="D128" s="1323"/>
      <c r="E128" s="2207"/>
      <c r="F128" s="1151"/>
      <c r="G128" s="2233"/>
      <c r="H128" s="1413"/>
      <c r="I128" s="2210"/>
      <c r="J128" s="2210"/>
      <c r="K128" s="2210"/>
      <c r="L128" s="2212"/>
      <c r="M128" s="2201"/>
      <c r="N128" s="2203"/>
      <c r="O128" s="549" t="s">
        <v>93</v>
      </c>
      <c r="P128" s="555"/>
      <c r="Q128" s="556"/>
      <c r="R128" s="555"/>
      <c r="S128" s="555"/>
      <c r="T128" s="555"/>
      <c r="U128" s="556"/>
      <c r="V128" s="621"/>
      <c r="W128" s="557"/>
      <c r="X128" s="558"/>
      <c r="Y128" s="559"/>
      <c r="Z128" s="568"/>
      <c r="AA128" s="559"/>
      <c r="AB128" s="598"/>
    </row>
    <row r="129" spans="1:46" ht="14.4" customHeight="1" x14ac:dyDescent="0.25">
      <c r="A129" s="2204"/>
      <c r="B129" s="2099"/>
      <c r="C129" s="2205"/>
      <c r="D129" s="1324"/>
      <c r="E129" s="2208"/>
      <c r="F129" s="1152"/>
      <c r="G129" s="2234"/>
      <c r="H129" s="1414"/>
      <c r="I129" s="2211"/>
      <c r="J129" s="2211"/>
      <c r="K129" s="2211"/>
      <c r="L129" s="2212"/>
      <c r="M129" s="2202"/>
      <c r="N129" s="2203"/>
      <c r="O129" s="549" t="s">
        <v>94</v>
      </c>
      <c r="P129" s="560"/>
      <c r="Q129" s="561"/>
      <c r="R129" s="557"/>
      <c r="S129" s="557"/>
      <c r="T129" s="562"/>
      <c r="U129" s="562"/>
      <c r="V129" s="623"/>
      <c r="W129" s="562"/>
      <c r="X129" s="558"/>
      <c r="Y129" s="559"/>
      <c r="AB129" s="598"/>
    </row>
    <row r="130" spans="1:46" x14ac:dyDescent="0.25">
      <c r="A130" s="2204">
        <v>39</v>
      </c>
      <c r="B130" s="2099" t="s">
        <v>741</v>
      </c>
      <c r="C130" s="2205" t="s">
        <v>97</v>
      </c>
      <c r="D130" s="1322">
        <v>220</v>
      </c>
      <c r="E130" s="2206" t="s">
        <v>859</v>
      </c>
      <c r="F130" s="1150"/>
      <c r="G130" s="2232">
        <v>842992.65</v>
      </c>
      <c r="H130" s="1412">
        <f>G130</f>
        <v>842992.65</v>
      </c>
      <c r="I130" s="2209">
        <f>J130</f>
        <v>191059.91293726524</v>
      </c>
      <c r="J130" s="2209">
        <f>K130*0.414561030583245</f>
        <v>191059.91293726524</v>
      </c>
      <c r="K130" s="2209">
        <f>H130/1.82912206116649</f>
        <v>460872.82412546949</v>
      </c>
      <c r="L130" s="2212"/>
      <c r="M130" s="2200" t="s">
        <v>90</v>
      </c>
      <c r="N130" s="2203" t="s">
        <v>91</v>
      </c>
      <c r="O130" s="549" t="s">
        <v>92</v>
      </c>
      <c r="P130" s="550">
        <f>Q130-7</f>
        <v>44144</v>
      </c>
      <c r="Q130" s="551">
        <f>R130-7</f>
        <v>44151</v>
      </c>
      <c r="R130" s="552">
        <v>44158</v>
      </c>
      <c r="S130" s="552">
        <f>R130+15</f>
        <v>44173</v>
      </c>
      <c r="T130" s="552">
        <f>S130+7</f>
        <v>44180</v>
      </c>
      <c r="U130" s="552">
        <f>T130+7</f>
        <v>44187</v>
      </c>
      <c r="V130" s="619"/>
      <c r="W130" s="552">
        <f>U130+7</f>
        <v>44194</v>
      </c>
      <c r="X130" s="553">
        <f>W130+7</f>
        <v>44201</v>
      </c>
      <c r="Y130" s="554">
        <f>X130+7</f>
        <v>44208</v>
      </c>
      <c r="Z130" s="554">
        <f>Y130+150</f>
        <v>44358</v>
      </c>
      <c r="AA130" s="554">
        <f>Z130+365</f>
        <v>44723</v>
      </c>
      <c r="AB130" s="620"/>
    </row>
    <row r="131" spans="1:46" ht="14.4" customHeight="1" x14ac:dyDescent="0.25">
      <c r="A131" s="2204"/>
      <c r="B131" s="2099"/>
      <c r="C131" s="2205"/>
      <c r="D131" s="1323"/>
      <c r="E131" s="2207"/>
      <c r="F131" s="1151"/>
      <c r="G131" s="2233"/>
      <c r="H131" s="1413"/>
      <c r="I131" s="2210"/>
      <c r="J131" s="2210"/>
      <c r="K131" s="2210"/>
      <c r="L131" s="2212"/>
      <c r="M131" s="2201"/>
      <c r="N131" s="2203"/>
      <c r="O131" s="549" t="s">
        <v>93</v>
      </c>
      <c r="P131" s="555"/>
      <c r="Q131" s="556"/>
      <c r="R131" s="555"/>
      <c r="S131" s="555"/>
      <c r="T131" s="555"/>
      <c r="U131" s="556"/>
      <c r="V131" s="621"/>
      <c r="W131" s="557"/>
      <c r="X131" s="558"/>
      <c r="Y131" s="559"/>
      <c r="Z131" s="568"/>
      <c r="AA131" s="559"/>
      <c r="AB131" s="598"/>
    </row>
    <row r="132" spans="1:46" ht="14.4" customHeight="1" x14ac:dyDescent="0.25">
      <c r="A132" s="2204"/>
      <c r="B132" s="2099"/>
      <c r="C132" s="2205"/>
      <c r="D132" s="1324"/>
      <c r="E132" s="2208"/>
      <c r="F132" s="1152"/>
      <c r="G132" s="2234"/>
      <c r="H132" s="1414"/>
      <c r="I132" s="2211"/>
      <c r="J132" s="2211"/>
      <c r="K132" s="2211"/>
      <c r="L132" s="2212"/>
      <c r="M132" s="2202"/>
      <c r="N132" s="2203"/>
      <c r="O132" s="549" t="s">
        <v>94</v>
      </c>
      <c r="P132" s="560"/>
      <c r="Q132" s="561"/>
      <c r="R132" s="557"/>
      <c r="S132" s="557"/>
      <c r="T132" s="562"/>
      <c r="U132" s="562"/>
      <c r="V132" s="623"/>
      <c r="W132" s="562"/>
      <c r="X132" s="558"/>
      <c r="Y132" s="559"/>
      <c r="AB132" s="598"/>
    </row>
    <row r="133" spans="1:46" x14ac:dyDescent="0.25">
      <c r="A133" s="2204">
        <v>40</v>
      </c>
      <c r="B133" s="2099" t="s">
        <v>742</v>
      </c>
      <c r="C133" s="2205" t="s">
        <v>97</v>
      </c>
      <c r="D133" s="1322">
        <v>480</v>
      </c>
      <c r="E133" s="2206" t="s">
        <v>860</v>
      </c>
      <c r="F133" s="1150"/>
      <c r="G133" s="2232">
        <v>1910208.79</v>
      </c>
      <c r="H133" s="1412">
        <f>G133</f>
        <v>1910208.79</v>
      </c>
      <c r="I133" s="2209">
        <f>J133</f>
        <v>432938.91721285926</v>
      </c>
      <c r="J133" s="2209">
        <f>K133*0.414561030583245</f>
        <v>432938.91721285926</v>
      </c>
      <c r="K133" s="2209">
        <f>H133/1.82912206116649</f>
        <v>1044330.9555742816</v>
      </c>
      <c r="L133" s="2212"/>
      <c r="M133" s="2200" t="s">
        <v>90</v>
      </c>
      <c r="N133" s="2203" t="s">
        <v>91</v>
      </c>
      <c r="O133" s="549" t="s">
        <v>92</v>
      </c>
      <c r="P133" s="550">
        <f>Q133-7</f>
        <v>44144</v>
      </c>
      <c r="Q133" s="551">
        <f>R133-7</f>
        <v>44151</v>
      </c>
      <c r="R133" s="552">
        <v>44158</v>
      </c>
      <c r="S133" s="552">
        <f>R133+15</f>
        <v>44173</v>
      </c>
      <c r="T133" s="552">
        <f>S133+7</f>
        <v>44180</v>
      </c>
      <c r="U133" s="552">
        <f>T133+7</f>
        <v>44187</v>
      </c>
      <c r="V133" s="619"/>
      <c r="W133" s="552">
        <f>U133+7</f>
        <v>44194</v>
      </c>
      <c r="X133" s="553">
        <f>W133+7</f>
        <v>44201</v>
      </c>
      <c r="Y133" s="554">
        <f>X133+7</f>
        <v>44208</v>
      </c>
      <c r="Z133" s="554">
        <f>Y133+150</f>
        <v>44358</v>
      </c>
      <c r="AA133" s="554">
        <f>Z133+365</f>
        <v>44723</v>
      </c>
      <c r="AB133" s="620"/>
    </row>
    <row r="134" spans="1:46" ht="14.4" customHeight="1" x14ac:dyDescent="0.25">
      <c r="A134" s="2204"/>
      <c r="B134" s="2099"/>
      <c r="C134" s="2205"/>
      <c r="D134" s="1323"/>
      <c r="E134" s="2207"/>
      <c r="F134" s="1151"/>
      <c r="G134" s="2233"/>
      <c r="H134" s="1413"/>
      <c r="I134" s="2210"/>
      <c r="J134" s="2210"/>
      <c r="K134" s="2210"/>
      <c r="L134" s="2212"/>
      <c r="M134" s="2201"/>
      <c r="N134" s="2203"/>
      <c r="O134" s="549" t="s">
        <v>93</v>
      </c>
      <c r="P134" s="555"/>
      <c r="Q134" s="556"/>
      <c r="R134" s="555"/>
      <c r="S134" s="555"/>
      <c r="T134" s="555"/>
      <c r="U134" s="556"/>
      <c r="V134" s="621"/>
      <c r="W134" s="557"/>
      <c r="X134" s="558"/>
      <c r="Y134" s="559"/>
      <c r="Z134" s="568"/>
      <c r="AA134" s="559"/>
      <c r="AB134" s="598"/>
    </row>
    <row r="135" spans="1:46" ht="14.4" customHeight="1" x14ac:dyDescent="0.25">
      <c r="A135" s="2204"/>
      <c r="B135" s="2099"/>
      <c r="C135" s="2205"/>
      <c r="D135" s="1324"/>
      <c r="E135" s="2208"/>
      <c r="F135" s="1152"/>
      <c r="G135" s="2234"/>
      <c r="H135" s="1414"/>
      <c r="I135" s="2211"/>
      <c r="J135" s="2211"/>
      <c r="K135" s="2211"/>
      <c r="L135" s="2212"/>
      <c r="M135" s="2202"/>
      <c r="N135" s="2203"/>
      <c r="O135" s="549" t="s">
        <v>94</v>
      </c>
      <c r="P135" s="560"/>
      <c r="Q135" s="561"/>
      <c r="R135" s="557"/>
      <c r="S135" s="557"/>
      <c r="T135" s="562"/>
      <c r="U135" s="562"/>
      <c r="V135" s="623"/>
      <c r="W135" s="562"/>
      <c r="X135" s="558"/>
      <c r="Y135" s="559"/>
      <c r="AB135" s="598"/>
    </row>
    <row r="136" spans="1:46" x14ac:dyDescent="0.25">
      <c r="A136" s="2204">
        <v>41</v>
      </c>
      <c r="B136" s="2099" t="s">
        <v>820</v>
      </c>
      <c r="C136" s="2205" t="s">
        <v>97</v>
      </c>
      <c r="D136" s="1322">
        <v>305</v>
      </c>
      <c r="E136" s="2206" t="s">
        <v>861</v>
      </c>
      <c r="F136" s="1531"/>
      <c r="G136" s="1321">
        <v>2319860.77</v>
      </c>
      <c r="H136" s="1412">
        <f>G136</f>
        <v>2319860.77</v>
      </c>
      <c r="I136" s="2209">
        <f>J136</f>
        <v>525784.41430394107</v>
      </c>
      <c r="J136" s="2209">
        <f>K136*0.414561030583245</f>
        <v>525784.41430394107</v>
      </c>
      <c r="K136" s="2209">
        <f>H136/1.82912206116649</f>
        <v>1268291.9413921181</v>
      </c>
      <c r="L136" s="2212"/>
      <c r="M136" s="2200" t="s">
        <v>90</v>
      </c>
      <c r="N136" s="2203" t="s">
        <v>91</v>
      </c>
      <c r="O136" s="549" t="s">
        <v>92</v>
      </c>
      <c r="P136" s="550">
        <f>Q136-7</f>
        <v>44144</v>
      </c>
      <c r="Q136" s="551">
        <f>R136-7</f>
        <v>44151</v>
      </c>
      <c r="R136" s="552">
        <v>44158</v>
      </c>
      <c r="S136" s="552">
        <f>R136+15</f>
        <v>44173</v>
      </c>
      <c r="T136" s="552">
        <f>S136+7</f>
        <v>44180</v>
      </c>
      <c r="U136" s="552">
        <f>T136+7</f>
        <v>44187</v>
      </c>
      <c r="V136" s="619"/>
      <c r="W136" s="552">
        <f>U136+7</f>
        <v>44194</v>
      </c>
      <c r="X136" s="553">
        <f>W136+7</f>
        <v>44201</v>
      </c>
      <c r="Y136" s="554">
        <f>X136+7</f>
        <v>44208</v>
      </c>
      <c r="Z136" s="554">
        <f>Y136+150</f>
        <v>44358</v>
      </c>
      <c r="AA136" s="554">
        <f>Z136+365</f>
        <v>44723</v>
      </c>
      <c r="AB136" s="620"/>
    </row>
    <row r="137" spans="1:46" x14ac:dyDescent="0.25">
      <c r="A137" s="2204"/>
      <c r="B137" s="2099"/>
      <c r="C137" s="2205"/>
      <c r="D137" s="1323"/>
      <c r="E137" s="2207"/>
      <c r="F137" s="1532"/>
      <c r="G137" s="1326"/>
      <c r="H137" s="1413"/>
      <c r="I137" s="2210"/>
      <c r="J137" s="2210"/>
      <c r="K137" s="2210"/>
      <c r="L137" s="2212"/>
      <c r="M137" s="2201"/>
      <c r="N137" s="2203"/>
      <c r="O137" s="549" t="s">
        <v>93</v>
      </c>
      <c r="P137" s="555"/>
      <c r="Q137" s="556"/>
      <c r="R137" s="555"/>
      <c r="S137" s="555"/>
      <c r="T137" s="555"/>
      <c r="U137" s="556"/>
      <c r="V137" s="621"/>
      <c r="W137" s="557"/>
      <c r="X137" s="558"/>
      <c r="Y137" s="559"/>
      <c r="Z137" s="568"/>
      <c r="AA137" s="559"/>
      <c r="AB137" s="598"/>
    </row>
    <row r="138" spans="1:46" x14ac:dyDescent="0.25">
      <c r="A138" s="2204"/>
      <c r="B138" s="2099"/>
      <c r="C138" s="2205"/>
      <c r="D138" s="1325"/>
      <c r="E138" s="2208"/>
      <c r="F138" s="1533"/>
      <c r="G138" s="1535"/>
      <c r="H138" s="1415"/>
      <c r="I138" s="2211"/>
      <c r="J138" s="2211"/>
      <c r="K138" s="2211"/>
      <c r="L138" s="2212"/>
      <c r="M138" s="2202"/>
      <c r="N138" s="2203"/>
      <c r="O138" s="549" t="s">
        <v>94</v>
      </c>
      <c r="P138" s="560"/>
      <c r="Q138" s="561"/>
      <c r="R138" s="557"/>
      <c r="S138" s="557"/>
      <c r="T138" s="562"/>
      <c r="U138" s="562"/>
      <c r="V138" s="623"/>
      <c r="W138" s="562"/>
      <c r="X138" s="558"/>
      <c r="Y138" s="559"/>
      <c r="AB138" s="598"/>
    </row>
    <row r="139" spans="1:46" x14ac:dyDescent="0.25">
      <c r="A139" s="2204">
        <v>42</v>
      </c>
      <c r="B139" s="2099" t="s">
        <v>743</v>
      </c>
      <c r="C139" s="2205" t="s">
        <v>97</v>
      </c>
      <c r="D139" s="1322">
        <v>300</v>
      </c>
      <c r="E139" s="2206" t="s">
        <v>862</v>
      </c>
      <c r="F139" s="1150"/>
      <c r="G139" s="2232">
        <v>1240478.3700000001</v>
      </c>
      <c r="H139" s="1412">
        <f>G139</f>
        <v>1240478.3700000001</v>
      </c>
      <c r="I139" s="2209">
        <f>J139</f>
        <v>281147.99028527801</v>
      </c>
      <c r="J139" s="2209">
        <f>K139*0.414561030583245</f>
        <v>281147.99028527801</v>
      </c>
      <c r="K139" s="2209">
        <f>H139/1.82912206116649</f>
        <v>678182.38942944421</v>
      </c>
      <c r="L139" s="2212"/>
      <c r="M139" s="2200" t="s">
        <v>90</v>
      </c>
      <c r="N139" s="2203" t="s">
        <v>91</v>
      </c>
      <c r="O139" s="549" t="s">
        <v>92</v>
      </c>
      <c r="P139" s="550">
        <f>Q139-7</f>
        <v>44144</v>
      </c>
      <c r="Q139" s="551">
        <f>R139-7</f>
        <v>44151</v>
      </c>
      <c r="R139" s="552">
        <v>44158</v>
      </c>
      <c r="S139" s="552">
        <f>R139+15</f>
        <v>44173</v>
      </c>
      <c r="T139" s="552">
        <f>S139+7</f>
        <v>44180</v>
      </c>
      <c r="U139" s="552">
        <f>T139+7</f>
        <v>44187</v>
      </c>
      <c r="V139" s="619"/>
      <c r="W139" s="552">
        <f>U139+7</f>
        <v>44194</v>
      </c>
      <c r="X139" s="553">
        <f>W139+7</f>
        <v>44201</v>
      </c>
      <c r="Y139" s="554">
        <f>X139+7</f>
        <v>44208</v>
      </c>
      <c r="Z139" s="554">
        <f>Y139+150</f>
        <v>44358</v>
      </c>
      <c r="AA139" s="554">
        <f>Z139+365</f>
        <v>44723</v>
      </c>
      <c r="AB139" s="620"/>
    </row>
    <row r="140" spans="1:46" x14ac:dyDescent="0.25">
      <c r="A140" s="2204"/>
      <c r="B140" s="2099"/>
      <c r="C140" s="2205"/>
      <c r="D140" s="1323"/>
      <c r="E140" s="2207"/>
      <c r="F140" s="1151"/>
      <c r="G140" s="2233"/>
      <c r="H140" s="1413"/>
      <c r="I140" s="2210"/>
      <c r="J140" s="2210"/>
      <c r="K140" s="2210"/>
      <c r="L140" s="2212"/>
      <c r="M140" s="2201"/>
      <c r="N140" s="2203"/>
      <c r="O140" s="549" t="s">
        <v>93</v>
      </c>
      <c r="P140" s="555"/>
      <c r="Q140" s="556"/>
      <c r="R140" s="555"/>
      <c r="S140" s="555"/>
      <c r="T140" s="555"/>
      <c r="U140" s="556"/>
      <c r="V140" s="621"/>
      <c r="W140" s="557"/>
      <c r="X140" s="558"/>
      <c r="Y140" s="559"/>
      <c r="Z140" s="568"/>
      <c r="AA140" s="559"/>
      <c r="AB140" s="598"/>
    </row>
    <row r="141" spans="1:46" x14ac:dyDescent="0.25">
      <c r="A141" s="2204"/>
      <c r="B141" s="2099"/>
      <c r="C141" s="2205"/>
      <c r="D141" s="1325"/>
      <c r="E141" s="2208"/>
      <c r="F141" s="1152"/>
      <c r="G141" s="2259"/>
      <c r="H141" s="1415"/>
      <c r="I141" s="2211"/>
      <c r="J141" s="2211"/>
      <c r="K141" s="2211"/>
      <c r="L141" s="2212"/>
      <c r="M141" s="2202"/>
      <c r="N141" s="2203"/>
      <c r="O141" s="549" t="s">
        <v>94</v>
      </c>
      <c r="P141" s="560"/>
      <c r="Q141" s="561"/>
      <c r="R141" s="557"/>
      <c r="S141" s="557"/>
      <c r="T141" s="562"/>
      <c r="U141" s="562"/>
      <c r="V141" s="623"/>
      <c r="W141" s="562"/>
      <c r="X141" s="558"/>
      <c r="Y141" s="559"/>
      <c r="AB141" s="598"/>
    </row>
    <row r="142" spans="1:46" s="1250" customFormat="1" ht="17.399999999999999" x14ac:dyDescent="0.3">
      <c r="A142" s="594"/>
      <c r="B142" s="1249" t="s">
        <v>140</v>
      </c>
      <c r="D142" s="856">
        <f>SUM(D106:D139)</f>
        <v>3311</v>
      </c>
      <c r="G142" s="595">
        <f>SUM(G106:G141)</f>
        <v>13925595.93</v>
      </c>
      <c r="H142" s="595">
        <f t="shared" ref="H142:K142" si="7">SUM(H106:H141)</f>
        <v>13925595.93</v>
      </c>
      <c r="I142" s="595">
        <f t="shared" si="7"/>
        <v>3156164.1088867565</v>
      </c>
      <c r="J142" s="595">
        <f t="shared" si="7"/>
        <v>3156164.1088867565</v>
      </c>
      <c r="K142" s="595">
        <f t="shared" si="7"/>
        <v>7613267.7122264877</v>
      </c>
      <c r="O142" s="1251"/>
      <c r="S142" s="1252"/>
      <c r="V142" s="855"/>
      <c r="X142" s="1253"/>
      <c r="Y142" s="594"/>
      <c r="Z142" s="594"/>
      <c r="AA142" s="594"/>
      <c r="AB142" s="595"/>
      <c r="AC142" s="582"/>
      <c r="AD142" s="582"/>
      <c r="AE142" s="603"/>
      <c r="AF142" s="582"/>
      <c r="AG142" s="582"/>
      <c r="AH142" s="582"/>
      <c r="AI142" s="582"/>
      <c r="AJ142" s="582"/>
      <c r="AK142" s="582"/>
      <c r="AL142" s="582"/>
      <c r="AM142" s="582"/>
      <c r="AN142" s="582"/>
      <c r="AO142" s="582"/>
      <c r="AP142" s="582"/>
      <c r="AQ142" s="582"/>
      <c r="AR142" s="582"/>
      <c r="AS142" s="582"/>
      <c r="AT142" s="582"/>
    </row>
    <row r="143" spans="1:46" s="1183" customFormat="1" ht="17.399999999999999" x14ac:dyDescent="0.3">
      <c r="A143" s="1188"/>
      <c r="B143" s="1218" t="s">
        <v>146</v>
      </c>
      <c r="C143" s="1190"/>
      <c r="D143" s="1191"/>
      <c r="E143" s="1190"/>
      <c r="F143" s="1190"/>
      <c r="G143" s="1192"/>
      <c r="H143" s="1192"/>
      <c r="I143" s="1192"/>
      <c r="J143" s="1192"/>
      <c r="K143" s="1192"/>
      <c r="L143" s="1190"/>
      <c r="M143" s="1190"/>
      <c r="N143" s="1190"/>
      <c r="O143" s="1195"/>
      <c r="P143" s="1190"/>
      <c r="Q143" s="1190"/>
      <c r="R143" s="1190"/>
      <c r="S143" s="1190"/>
      <c r="T143" s="1190"/>
      <c r="U143" s="1190"/>
      <c r="V143" s="1215"/>
      <c r="W143" s="1190"/>
      <c r="X143" s="1197"/>
      <c r="Y143" s="1198"/>
      <c r="Z143" s="1198"/>
      <c r="AA143" s="1198"/>
      <c r="AB143" s="1199"/>
      <c r="AE143" s="1205"/>
    </row>
    <row r="144" spans="1:46" x14ac:dyDescent="0.25">
      <c r="A144" s="2260">
        <v>43</v>
      </c>
      <c r="B144" s="2098" t="s">
        <v>744</v>
      </c>
      <c r="C144" s="2205" t="s">
        <v>3</v>
      </c>
      <c r="D144" s="2261">
        <v>1</v>
      </c>
      <c r="E144" s="2206" t="s">
        <v>863</v>
      </c>
      <c r="F144" s="1150"/>
      <c r="G144" s="2262">
        <v>1010619.57</v>
      </c>
      <c r="H144" s="2263">
        <f>G144</f>
        <v>1010619.57</v>
      </c>
      <c r="I144" s="2209">
        <f>J144</f>
        <v>229051.68515632546</v>
      </c>
      <c r="J144" s="2209">
        <f>K144*0.414561030583245</f>
        <v>229051.68515632546</v>
      </c>
      <c r="K144" s="2209">
        <f>H144/1.82912206116649</f>
        <v>552516.19968734914</v>
      </c>
      <c r="L144" s="2205"/>
      <c r="M144" s="2206" t="s">
        <v>90</v>
      </c>
      <c r="N144" s="2205" t="s">
        <v>91</v>
      </c>
      <c r="O144" s="549" t="s">
        <v>92</v>
      </c>
      <c r="P144" s="550">
        <f>Q144-7</f>
        <v>44144</v>
      </c>
      <c r="Q144" s="551">
        <f>R144-7</f>
        <v>44151</v>
      </c>
      <c r="R144" s="552">
        <v>44158</v>
      </c>
      <c r="S144" s="552">
        <f>R144+15</f>
        <v>44173</v>
      </c>
      <c r="T144" s="552">
        <f>S144+7</f>
        <v>44180</v>
      </c>
      <c r="U144" s="552">
        <f>T144+7</f>
        <v>44187</v>
      </c>
      <c r="V144" s="619"/>
      <c r="W144" s="552">
        <f>U144+7</f>
        <v>44194</v>
      </c>
      <c r="X144" s="553">
        <f>W144+7</f>
        <v>44201</v>
      </c>
      <c r="Y144" s="554">
        <f>X144+7</f>
        <v>44208</v>
      </c>
      <c r="Z144" s="554">
        <f>Y144+150</f>
        <v>44358</v>
      </c>
      <c r="AA144" s="554">
        <f>Z144+365</f>
        <v>44723</v>
      </c>
      <c r="AB144" s="620"/>
    </row>
    <row r="145" spans="1:31" x14ac:dyDescent="0.25">
      <c r="A145" s="2260"/>
      <c r="B145" s="2098"/>
      <c r="C145" s="2205"/>
      <c r="D145" s="2205"/>
      <c r="E145" s="2207"/>
      <c r="F145" s="1151"/>
      <c r="G145" s="2262"/>
      <c r="H145" s="2263"/>
      <c r="I145" s="2210"/>
      <c r="J145" s="2210"/>
      <c r="K145" s="2210"/>
      <c r="L145" s="2205"/>
      <c r="M145" s="2207"/>
      <c r="N145" s="2205"/>
      <c r="O145" s="549" t="s">
        <v>93</v>
      </c>
      <c r="P145" s="555"/>
      <c r="Q145" s="556"/>
      <c r="R145" s="555"/>
      <c r="S145" s="555"/>
      <c r="T145" s="555"/>
      <c r="U145" s="556"/>
      <c r="V145" s="621"/>
      <c r="W145" s="557"/>
      <c r="X145" s="558"/>
      <c r="Y145" s="559"/>
      <c r="Z145" s="568"/>
      <c r="AA145" s="559"/>
      <c r="AB145" s="598"/>
    </row>
    <row r="146" spans="1:31" x14ac:dyDescent="0.25">
      <c r="A146" s="2260"/>
      <c r="B146" s="2098"/>
      <c r="C146" s="2205"/>
      <c r="D146" s="2205"/>
      <c r="E146" s="2208"/>
      <c r="F146" s="1152"/>
      <c r="G146" s="2262"/>
      <c r="H146" s="2263"/>
      <c r="I146" s="2211"/>
      <c r="J146" s="2211"/>
      <c r="K146" s="2211"/>
      <c r="L146" s="2205"/>
      <c r="M146" s="2208"/>
      <c r="N146" s="2205"/>
      <c r="O146" s="549" t="s">
        <v>94</v>
      </c>
      <c r="P146" s="560"/>
      <c r="Q146" s="561"/>
      <c r="R146" s="557"/>
      <c r="S146" s="557"/>
      <c r="T146" s="562"/>
      <c r="U146" s="562"/>
      <c r="V146" s="623"/>
      <c r="W146" s="562"/>
      <c r="X146" s="558"/>
      <c r="Y146" s="559"/>
      <c r="AB146" s="598"/>
    </row>
    <row r="147" spans="1:31" ht="13.8" customHeight="1" x14ac:dyDescent="0.25">
      <c r="A147" s="2260">
        <v>44</v>
      </c>
      <c r="B147" s="2098" t="s">
        <v>745</v>
      </c>
      <c r="C147" s="2205" t="s">
        <v>3</v>
      </c>
      <c r="D147" s="2261">
        <v>1</v>
      </c>
      <c r="E147" s="2206" t="s">
        <v>864</v>
      </c>
      <c r="F147" s="1150"/>
      <c r="G147" s="2262">
        <v>1203996.9099999999</v>
      </c>
      <c r="H147" s="2263">
        <f>G147</f>
        <v>1203996.9099999999</v>
      </c>
      <c r="I147" s="2209">
        <f>J147</f>
        <v>272879.65654426097</v>
      </c>
      <c r="J147" s="2209">
        <f>K147*0.414561030583245</f>
        <v>272879.65654426097</v>
      </c>
      <c r="K147" s="2209">
        <f>H147/1.82912206116649</f>
        <v>658237.59691147809</v>
      </c>
      <c r="L147" s="2205"/>
      <c r="M147" s="2206" t="s">
        <v>90</v>
      </c>
      <c r="N147" s="2205" t="s">
        <v>91</v>
      </c>
      <c r="O147" s="549" t="s">
        <v>92</v>
      </c>
      <c r="P147" s="550">
        <f>Q147-7</f>
        <v>44144</v>
      </c>
      <c r="Q147" s="551">
        <f>R147-7</f>
        <v>44151</v>
      </c>
      <c r="R147" s="552">
        <v>44158</v>
      </c>
      <c r="S147" s="552">
        <f>R147+15</f>
        <v>44173</v>
      </c>
      <c r="T147" s="552">
        <f>S147+7</f>
        <v>44180</v>
      </c>
      <c r="U147" s="552">
        <f>T147+7</f>
        <v>44187</v>
      </c>
      <c r="V147" s="619"/>
      <c r="W147" s="552">
        <f>U147+7</f>
        <v>44194</v>
      </c>
      <c r="X147" s="553">
        <f>W147+7</f>
        <v>44201</v>
      </c>
      <c r="Y147" s="554">
        <f>X147+7</f>
        <v>44208</v>
      </c>
      <c r="Z147" s="554">
        <f>Y147+150</f>
        <v>44358</v>
      </c>
      <c r="AA147" s="554">
        <f>Z147+365</f>
        <v>44723</v>
      </c>
      <c r="AB147" s="620"/>
    </row>
    <row r="148" spans="1:31" ht="13.8" customHeight="1" x14ac:dyDescent="0.25">
      <c r="A148" s="2260"/>
      <c r="B148" s="2098"/>
      <c r="C148" s="2205"/>
      <c r="D148" s="2205"/>
      <c r="E148" s="2207"/>
      <c r="F148" s="1151"/>
      <c r="G148" s="2262"/>
      <c r="H148" s="2263"/>
      <c r="I148" s="2210"/>
      <c r="J148" s="2210"/>
      <c r="K148" s="2210"/>
      <c r="L148" s="2205"/>
      <c r="M148" s="2207"/>
      <c r="N148" s="2205"/>
      <c r="O148" s="549" t="s">
        <v>93</v>
      </c>
      <c r="P148" s="555"/>
      <c r="Q148" s="556"/>
      <c r="R148" s="555"/>
      <c r="S148" s="555"/>
      <c r="T148" s="555"/>
      <c r="U148" s="556"/>
      <c r="V148" s="621"/>
      <c r="W148" s="557"/>
      <c r="X148" s="558"/>
      <c r="Y148" s="559"/>
      <c r="Z148" s="568"/>
      <c r="AA148" s="559"/>
      <c r="AB148" s="598"/>
    </row>
    <row r="149" spans="1:31" ht="13.8" customHeight="1" x14ac:dyDescent="0.25">
      <c r="A149" s="2260"/>
      <c r="B149" s="2098"/>
      <c r="C149" s="2205"/>
      <c r="D149" s="2205"/>
      <c r="E149" s="2208"/>
      <c r="F149" s="1152"/>
      <c r="G149" s="2262"/>
      <c r="H149" s="2263"/>
      <c r="I149" s="2211"/>
      <c r="J149" s="2211"/>
      <c r="K149" s="2211"/>
      <c r="L149" s="2205"/>
      <c r="M149" s="2208"/>
      <c r="N149" s="2205"/>
      <c r="O149" s="549" t="s">
        <v>94</v>
      </c>
      <c r="P149" s="560"/>
      <c r="Q149" s="561"/>
      <c r="R149" s="557"/>
      <c r="S149" s="557"/>
      <c r="T149" s="562"/>
      <c r="U149" s="562"/>
      <c r="V149" s="623"/>
      <c r="W149" s="562"/>
      <c r="X149" s="558"/>
      <c r="Y149" s="559"/>
      <c r="AB149" s="598"/>
    </row>
    <row r="150" spans="1:31" ht="13.8" customHeight="1" x14ac:dyDescent="0.25">
      <c r="A150" s="2260">
        <v>45</v>
      </c>
      <c r="B150" s="2098" t="s">
        <v>746</v>
      </c>
      <c r="C150" s="2205" t="s">
        <v>3</v>
      </c>
      <c r="D150" s="2261">
        <v>1</v>
      </c>
      <c r="E150" s="2206" t="s">
        <v>865</v>
      </c>
      <c r="F150" s="1150"/>
      <c r="G150" s="2262">
        <v>1159160.31</v>
      </c>
      <c r="H150" s="2263">
        <f>G150</f>
        <v>1159160.31</v>
      </c>
      <c r="I150" s="2209">
        <f>J150</f>
        <v>262717.67364630452</v>
      </c>
      <c r="J150" s="2209">
        <f>K150*0.414561030583245</f>
        <v>262717.67364630452</v>
      </c>
      <c r="K150" s="2209">
        <f>H150/1.82912206116649</f>
        <v>633724.96270739101</v>
      </c>
      <c r="L150" s="2205"/>
      <c r="M150" s="2206" t="s">
        <v>90</v>
      </c>
      <c r="N150" s="2205" t="s">
        <v>91</v>
      </c>
      <c r="O150" s="549" t="s">
        <v>92</v>
      </c>
      <c r="P150" s="550">
        <f>Q150-7</f>
        <v>44144</v>
      </c>
      <c r="Q150" s="551">
        <f>R150-7</f>
        <v>44151</v>
      </c>
      <c r="R150" s="552">
        <v>44158</v>
      </c>
      <c r="S150" s="552">
        <f>R150+15</f>
        <v>44173</v>
      </c>
      <c r="T150" s="552">
        <f>S150+7</f>
        <v>44180</v>
      </c>
      <c r="U150" s="552">
        <f>T150+7</f>
        <v>44187</v>
      </c>
      <c r="V150" s="619"/>
      <c r="W150" s="552">
        <f>U150+7</f>
        <v>44194</v>
      </c>
      <c r="X150" s="553">
        <f>W150+7</f>
        <v>44201</v>
      </c>
      <c r="Y150" s="554">
        <f>X150+7</f>
        <v>44208</v>
      </c>
      <c r="Z150" s="554">
        <f>Y150+150</f>
        <v>44358</v>
      </c>
      <c r="AA150" s="554">
        <f>Z150+365</f>
        <v>44723</v>
      </c>
      <c r="AB150" s="620"/>
    </row>
    <row r="151" spans="1:31" ht="13.8" customHeight="1" x14ac:dyDescent="0.25">
      <c r="A151" s="2260"/>
      <c r="B151" s="2098"/>
      <c r="C151" s="2205"/>
      <c r="D151" s="2205"/>
      <c r="E151" s="2207"/>
      <c r="F151" s="1151"/>
      <c r="G151" s="2262"/>
      <c r="H151" s="2263"/>
      <c r="I151" s="2210"/>
      <c r="J151" s="2210"/>
      <c r="K151" s="2210"/>
      <c r="L151" s="2205"/>
      <c r="M151" s="2207"/>
      <c r="N151" s="2205"/>
      <c r="O151" s="549" t="s">
        <v>93</v>
      </c>
      <c r="P151" s="555"/>
      <c r="Q151" s="556"/>
      <c r="R151" s="555"/>
      <c r="S151" s="555"/>
      <c r="T151" s="555"/>
      <c r="U151" s="556"/>
      <c r="V151" s="621"/>
      <c r="W151" s="557"/>
      <c r="X151" s="558"/>
      <c r="Y151" s="559"/>
      <c r="Z151" s="568"/>
      <c r="AA151" s="559"/>
      <c r="AB151" s="598"/>
    </row>
    <row r="152" spans="1:31" ht="13.8" customHeight="1" x14ac:dyDescent="0.25">
      <c r="A152" s="2260"/>
      <c r="B152" s="2098"/>
      <c r="C152" s="2205"/>
      <c r="D152" s="2205"/>
      <c r="E152" s="2208"/>
      <c r="F152" s="1152"/>
      <c r="G152" s="2262"/>
      <c r="H152" s="2263"/>
      <c r="I152" s="2211"/>
      <c r="J152" s="2211"/>
      <c r="K152" s="2211"/>
      <c r="L152" s="2205"/>
      <c r="M152" s="2208"/>
      <c r="N152" s="2205"/>
      <c r="O152" s="549" t="s">
        <v>94</v>
      </c>
      <c r="P152" s="560"/>
      <c r="Q152" s="561"/>
      <c r="R152" s="557"/>
      <c r="S152" s="557"/>
      <c r="T152" s="562"/>
      <c r="U152" s="562"/>
      <c r="V152" s="623"/>
      <c r="W152" s="562"/>
      <c r="X152" s="558"/>
      <c r="Y152" s="559"/>
      <c r="AB152" s="598"/>
    </row>
    <row r="153" spans="1:31" ht="13.8" customHeight="1" x14ac:dyDescent="0.25">
      <c r="A153" s="2260">
        <v>46</v>
      </c>
      <c r="B153" s="2098" t="s">
        <v>747</v>
      </c>
      <c r="C153" s="2205" t="s">
        <v>3</v>
      </c>
      <c r="D153" s="2261">
        <v>1</v>
      </c>
      <c r="E153" s="2206" t="s">
        <v>866</v>
      </c>
      <c r="F153" s="1150"/>
      <c r="G153" s="2262">
        <v>946138.84</v>
      </c>
      <c r="H153" s="2263">
        <f>G153</f>
        <v>946138.84</v>
      </c>
      <c r="I153" s="2209">
        <f>J153</f>
        <v>214437.46205493624</v>
      </c>
      <c r="J153" s="2209">
        <f>K153*0.414561030583245</f>
        <v>214437.46205493624</v>
      </c>
      <c r="K153" s="2209">
        <f>H153/1.82912206116649</f>
        <v>517263.91589012754</v>
      </c>
      <c r="L153" s="2205"/>
      <c r="M153" s="2206" t="s">
        <v>90</v>
      </c>
      <c r="N153" s="2205" t="s">
        <v>91</v>
      </c>
      <c r="O153" s="549" t="s">
        <v>92</v>
      </c>
      <c r="P153" s="550">
        <f>Q153-7</f>
        <v>44144</v>
      </c>
      <c r="Q153" s="551">
        <f>R153-7</f>
        <v>44151</v>
      </c>
      <c r="R153" s="552">
        <v>44158</v>
      </c>
      <c r="S153" s="552">
        <f>R153+15</f>
        <v>44173</v>
      </c>
      <c r="T153" s="552">
        <f>S153+7</f>
        <v>44180</v>
      </c>
      <c r="U153" s="552">
        <f>T153+7</f>
        <v>44187</v>
      </c>
      <c r="V153" s="619"/>
      <c r="W153" s="552">
        <f>U153+7</f>
        <v>44194</v>
      </c>
      <c r="X153" s="553">
        <f>W153+7</f>
        <v>44201</v>
      </c>
      <c r="Y153" s="554">
        <f>X153+7</f>
        <v>44208</v>
      </c>
      <c r="Z153" s="554">
        <f>Y153+150</f>
        <v>44358</v>
      </c>
      <c r="AA153" s="554">
        <f>Z153+365</f>
        <v>44723</v>
      </c>
      <c r="AB153" s="620"/>
    </row>
    <row r="154" spans="1:31" ht="13.8" customHeight="1" x14ac:dyDescent="0.25">
      <c r="A154" s="2260"/>
      <c r="B154" s="2098"/>
      <c r="C154" s="2205"/>
      <c r="D154" s="2205"/>
      <c r="E154" s="2207"/>
      <c r="F154" s="1151"/>
      <c r="G154" s="2262"/>
      <c r="H154" s="2263"/>
      <c r="I154" s="2210"/>
      <c r="J154" s="2210"/>
      <c r="K154" s="2210"/>
      <c r="L154" s="2205"/>
      <c r="M154" s="2207"/>
      <c r="N154" s="2205"/>
      <c r="O154" s="549" t="s">
        <v>93</v>
      </c>
      <c r="P154" s="555"/>
      <c r="Q154" s="556"/>
      <c r="R154" s="1058">
        <v>0</v>
      </c>
      <c r="S154" s="555"/>
      <c r="T154" s="555"/>
      <c r="U154" s="556"/>
      <c r="V154" s="621"/>
      <c r="W154" s="557"/>
      <c r="X154" s="558"/>
      <c r="Y154" s="559"/>
      <c r="Z154" s="568"/>
      <c r="AA154" s="559"/>
      <c r="AB154" s="598"/>
    </row>
    <row r="155" spans="1:31" ht="13.8" customHeight="1" x14ac:dyDescent="0.25">
      <c r="A155" s="2260"/>
      <c r="B155" s="2098"/>
      <c r="C155" s="2205"/>
      <c r="D155" s="2205"/>
      <c r="E155" s="2208"/>
      <c r="F155" s="1152"/>
      <c r="G155" s="2262"/>
      <c r="H155" s="2263"/>
      <c r="I155" s="2211"/>
      <c r="J155" s="2211"/>
      <c r="K155" s="2211"/>
      <c r="L155" s="2205"/>
      <c r="M155" s="2208"/>
      <c r="N155" s="2205"/>
      <c r="O155" s="549" t="s">
        <v>94</v>
      </c>
      <c r="P155" s="560"/>
      <c r="Q155" s="561"/>
      <c r="R155" s="557"/>
      <c r="S155" s="557"/>
      <c r="T155" s="562"/>
      <c r="U155" s="562"/>
      <c r="V155" s="623"/>
      <c r="W155" s="562"/>
      <c r="X155" s="558"/>
      <c r="Y155" s="559"/>
      <c r="AB155" s="598"/>
    </row>
    <row r="156" spans="1:31" s="582" customFormat="1" ht="17.399999999999999" x14ac:dyDescent="0.3">
      <c r="A156" s="616"/>
      <c r="B156" s="1163" t="s">
        <v>511</v>
      </c>
      <c r="C156" s="616"/>
      <c r="D156" s="617">
        <f>D147+D144+D150+D153</f>
        <v>4</v>
      </c>
      <c r="E156" s="616"/>
      <c r="F156" s="616"/>
      <c r="G156" s="630">
        <f>SUM(G144:G153)</f>
        <v>4319915.63</v>
      </c>
      <c r="H156" s="630">
        <f>SUM(H144:H153)</f>
        <v>4319915.63</v>
      </c>
      <c r="I156" s="630">
        <f>SUM(I144:I153)</f>
        <v>979086.47740182723</v>
      </c>
      <c r="J156" s="630">
        <f>SUM(J144:J153)</f>
        <v>979086.47740182723</v>
      </c>
      <c r="K156" s="630">
        <f>SUM(K144:K153)</f>
        <v>2361742.6751963459</v>
      </c>
      <c r="L156" s="616"/>
      <c r="M156" s="616"/>
      <c r="N156" s="616"/>
      <c r="O156" s="616"/>
      <c r="P156" s="616"/>
      <c r="Q156" s="616"/>
      <c r="R156" s="616"/>
      <c r="S156" s="616"/>
      <c r="T156" s="616"/>
      <c r="U156" s="616"/>
      <c r="V156" s="629"/>
      <c r="W156" s="616"/>
      <c r="X156" s="616"/>
      <c r="Y156" s="616"/>
      <c r="Z156" s="616"/>
      <c r="AA156" s="616"/>
      <c r="AB156" s="630"/>
      <c r="AE156" s="603"/>
    </row>
    <row r="157" spans="1:31" s="1183" customFormat="1" ht="17.399999999999999" x14ac:dyDescent="0.3">
      <c r="A157" s="1188"/>
      <c r="B157" s="1218" t="s">
        <v>396</v>
      </c>
      <c r="C157" s="1190"/>
      <c r="D157" s="1191"/>
      <c r="E157" s="1190"/>
      <c r="F157" s="1190"/>
      <c r="G157" s="1192"/>
      <c r="H157" s="1192"/>
      <c r="I157" s="1192"/>
      <c r="J157" s="1192"/>
      <c r="K157" s="1192"/>
      <c r="L157" s="1190"/>
      <c r="M157" s="1190"/>
      <c r="N157" s="1190"/>
      <c r="O157" s="1195"/>
      <c r="P157" s="1190"/>
      <c r="Q157" s="1190"/>
      <c r="R157" s="1190"/>
      <c r="S157" s="1190"/>
      <c r="T157" s="1190"/>
      <c r="U157" s="1190"/>
      <c r="V157" s="1215"/>
      <c r="W157" s="1190"/>
      <c r="X157" s="1197"/>
      <c r="Y157" s="1198"/>
      <c r="Z157" s="1198"/>
      <c r="AA157" s="1198"/>
      <c r="AB157" s="1199"/>
      <c r="AE157" s="1205"/>
    </row>
    <row r="158" spans="1:31" ht="13.8" customHeight="1" x14ac:dyDescent="0.25">
      <c r="A158" s="2260">
        <v>47</v>
      </c>
      <c r="B158" s="2098" t="s">
        <v>1047</v>
      </c>
      <c r="C158" s="2205" t="s">
        <v>3</v>
      </c>
      <c r="D158" s="2261">
        <v>1</v>
      </c>
      <c r="E158" s="2206" t="s">
        <v>867</v>
      </c>
      <c r="F158" s="1150"/>
      <c r="G158" s="2262">
        <v>5065074.3099999996</v>
      </c>
      <c r="H158" s="2263">
        <f>G158</f>
        <v>5065074.3099999996</v>
      </c>
      <c r="I158" s="2209">
        <f>J158</f>
        <v>1147972.8283388696</v>
      </c>
      <c r="J158" s="2209">
        <f>K158*0.414561030583245</f>
        <v>1147972.8283388696</v>
      </c>
      <c r="K158" s="2209">
        <f>H158/1.82912206116649</f>
        <v>2769128.6533222604</v>
      </c>
      <c r="L158" s="2205"/>
      <c r="M158" s="2206" t="s">
        <v>96</v>
      </c>
      <c r="N158" s="2205" t="s">
        <v>91</v>
      </c>
      <c r="O158" s="549" t="s">
        <v>92</v>
      </c>
      <c r="P158" s="550">
        <f>Q158-7</f>
        <v>44130</v>
      </c>
      <c r="Q158" s="551">
        <f>R158-7</f>
        <v>44137</v>
      </c>
      <c r="R158" s="552">
        <v>44144</v>
      </c>
      <c r="S158" s="552">
        <f>R158+30</f>
        <v>44174</v>
      </c>
      <c r="T158" s="552">
        <f>S158+7</f>
        <v>44181</v>
      </c>
      <c r="U158" s="552">
        <f>T158+7</f>
        <v>44188</v>
      </c>
      <c r="V158" s="619"/>
      <c r="W158" s="552">
        <f>U158+7</f>
        <v>44195</v>
      </c>
      <c r="X158" s="553">
        <f>W158+7</f>
        <v>44202</v>
      </c>
      <c r="Y158" s="554">
        <f>X158+7</f>
        <v>44209</v>
      </c>
      <c r="Z158" s="554">
        <f>Y158+180</f>
        <v>44389</v>
      </c>
      <c r="AA158" s="554">
        <f>Z158+365</f>
        <v>44754</v>
      </c>
      <c r="AB158" s="620"/>
    </row>
    <row r="159" spans="1:31" ht="13.8" customHeight="1" x14ac:dyDescent="0.25">
      <c r="A159" s="2260"/>
      <c r="B159" s="2098"/>
      <c r="C159" s="2205"/>
      <c r="D159" s="2205"/>
      <c r="E159" s="2207"/>
      <c r="F159" s="1151"/>
      <c r="G159" s="2262"/>
      <c r="H159" s="2263"/>
      <c r="I159" s="2210"/>
      <c r="J159" s="2210"/>
      <c r="K159" s="2210"/>
      <c r="L159" s="2205"/>
      <c r="M159" s="2207"/>
      <c r="N159" s="2205"/>
      <c r="O159" s="549" t="s">
        <v>93</v>
      </c>
      <c r="P159" s="555"/>
      <c r="Q159" s="556"/>
      <c r="R159" s="555"/>
      <c r="S159" s="555"/>
      <c r="T159" s="555"/>
      <c r="U159" s="556"/>
      <c r="V159" s="621"/>
      <c r="W159" s="557"/>
      <c r="X159" s="558"/>
      <c r="Y159" s="559"/>
      <c r="Z159" s="568"/>
      <c r="AA159" s="559"/>
      <c r="AB159" s="598"/>
    </row>
    <row r="160" spans="1:31" ht="13.8" customHeight="1" x14ac:dyDescent="0.25">
      <c r="A160" s="2260"/>
      <c r="B160" s="2098"/>
      <c r="C160" s="2205"/>
      <c r="D160" s="2205"/>
      <c r="E160" s="2208"/>
      <c r="F160" s="1152"/>
      <c r="G160" s="2262"/>
      <c r="H160" s="2263"/>
      <c r="I160" s="2211"/>
      <c r="J160" s="2211"/>
      <c r="K160" s="2211"/>
      <c r="L160" s="2205"/>
      <c r="M160" s="2208"/>
      <c r="N160" s="2205"/>
      <c r="O160" s="549" t="s">
        <v>94</v>
      </c>
      <c r="P160" s="560"/>
      <c r="Q160" s="561"/>
      <c r="R160" s="557"/>
      <c r="S160" s="557"/>
      <c r="T160" s="562"/>
      <c r="U160" s="562"/>
      <c r="V160" s="623"/>
      <c r="W160" s="562"/>
      <c r="X160" s="558"/>
      <c r="Y160" s="559"/>
      <c r="AB160" s="598"/>
    </row>
    <row r="161" spans="1:46" s="582" customFormat="1" ht="13.8" customHeight="1" x14ac:dyDescent="0.25">
      <c r="A161" s="656"/>
      <c r="B161" s="1164" t="s">
        <v>512</v>
      </c>
      <c r="C161" s="657"/>
      <c r="D161" s="657"/>
      <c r="E161" s="658"/>
      <c r="F161" s="658"/>
      <c r="G161" s="1158">
        <f>G158</f>
        <v>5065074.3099999996</v>
      </c>
      <c r="H161" s="1158">
        <f>H158</f>
        <v>5065074.3099999996</v>
      </c>
      <c r="I161" s="1158">
        <f>I158</f>
        <v>1147972.8283388696</v>
      </c>
      <c r="J161" s="1158">
        <f>J158</f>
        <v>1147972.8283388696</v>
      </c>
      <c r="K161" s="1158">
        <f>K158</f>
        <v>2769128.6533222604</v>
      </c>
      <c r="L161" s="657"/>
      <c r="M161" s="658"/>
      <c r="N161" s="657"/>
      <c r="O161" s="659"/>
      <c r="P161" s="660"/>
      <c r="Q161" s="661"/>
      <c r="R161" s="662"/>
      <c r="S161" s="661"/>
      <c r="T161" s="663"/>
      <c r="U161" s="663"/>
      <c r="V161" s="664"/>
      <c r="W161" s="662"/>
      <c r="X161" s="665"/>
      <c r="Y161" s="666"/>
      <c r="Z161" s="666"/>
      <c r="AA161" s="666"/>
      <c r="AB161" s="667"/>
      <c r="AE161" s="603"/>
    </row>
    <row r="162" spans="1:46" s="1183" customFormat="1" ht="17.399999999999999" x14ac:dyDescent="0.3">
      <c r="A162" s="1219"/>
      <c r="B162" s="1167" t="s">
        <v>1057</v>
      </c>
      <c r="C162" s="1220"/>
      <c r="D162" s="1221"/>
      <c r="E162" s="1220"/>
      <c r="F162" s="1220"/>
      <c r="G162" s="1222"/>
      <c r="H162" s="1222"/>
      <c r="I162" s="1222"/>
      <c r="J162" s="1222"/>
      <c r="K162" s="1222"/>
      <c r="L162" s="1220"/>
      <c r="M162" s="1220"/>
      <c r="N162" s="1220"/>
      <c r="O162" s="1220"/>
      <c r="P162" s="1220"/>
      <c r="Q162" s="1220"/>
      <c r="R162" s="1220"/>
      <c r="S162" s="1220"/>
      <c r="T162" s="1220"/>
      <c r="U162" s="1220"/>
      <c r="V162" s="1220"/>
      <c r="W162" s="1220"/>
      <c r="X162" s="1223"/>
      <c r="Y162" s="1224"/>
      <c r="Z162" s="1224"/>
      <c r="AA162" s="1224"/>
      <c r="AB162" s="1225"/>
      <c r="AC162" s="1226"/>
      <c r="AD162" s="1226"/>
      <c r="AE162" s="1205"/>
    </row>
    <row r="163" spans="1:46" ht="13.8" customHeight="1" x14ac:dyDescent="0.25">
      <c r="A163" s="2260">
        <v>48</v>
      </c>
      <c r="B163" s="2098" t="s">
        <v>749</v>
      </c>
      <c r="C163" s="2205" t="s">
        <v>517</v>
      </c>
      <c r="D163" s="2261">
        <v>8</v>
      </c>
      <c r="E163" s="2206" t="s">
        <v>868</v>
      </c>
      <c r="F163" s="1150"/>
      <c r="G163" s="2262">
        <v>3422811.69</v>
      </c>
      <c r="H163" s="2263">
        <f>G163</f>
        <v>3422811.69</v>
      </c>
      <c r="I163" s="2209">
        <f>J163</f>
        <v>775762.52117032546</v>
      </c>
      <c r="J163" s="2209">
        <f>K163*0.414561030583245</f>
        <v>775762.52117032546</v>
      </c>
      <c r="K163" s="2209">
        <f>H163/1.82912206116649</f>
        <v>1871286.647659349</v>
      </c>
      <c r="L163" s="2205"/>
      <c r="M163" s="2206" t="s">
        <v>297</v>
      </c>
      <c r="N163" s="2205" t="s">
        <v>91</v>
      </c>
      <c r="O163" s="549" t="s">
        <v>92</v>
      </c>
      <c r="P163" s="550">
        <v>44130</v>
      </c>
      <c r="Q163" s="551">
        <v>44137</v>
      </c>
      <c r="R163" s="552" t="s">
        <v>104</v>
      </c>
      <c r="S163" s="552" t="s">
        <v>104</v>
      </c>
      <c r="T163" s="552" t="s">
        <v>104</v>
      </c>
      <c r="U163" s="552" t="s">
        <v>104</v>
      </c>
      <c r="V163" s="552"/>
      <c r="W163" s="552">
        <v>44187</v>
      </c>
      <c r="X163" s="553">
        <v>44194</v>
      </c>
      <c r="Y163" s="554">
        <v>44201</v>
      </c>
      <c r="Z163" s="554">
        <v>44351</v>
      </c>
      <c r="AA163" s="554">
        <v>44716</v>
      </c>
      <c r="AB163" s="598"/>
    </row>
    <row r="164" spans="1:46" x14ac:dyDescent="0.25">
      <c r="A164" s="2260"/>
      <c r="B164" s="2098"/>
      <c r="C164" s="2205"/>
      <c r="D164" s="2205"/>
      <c r="E164" s="2207"/>
      <c r="F164" s="1151"/>
      <c r="G164" s="2262"/>
      <c r="H164" s="2263"/>
      <c r="I164" s="2210"/>
      <c r="J164" s="2210"/>
      <c r="K164" s="2210"/>
      <c r="L164" s="2205"/>
      <c r="M164" s="2207"/>
      <c r="N164" s="2205"/>
      <c r="O164" s="549" t="s">
        <v>93</v>
      </c>
      <c r="P164" s="564"/>
      <c r="Q164" s="564"/>
      <c r="R164" s="564"/>
      <c r="S164" s="564"/>
      <c r="T164" s="564"/>
      <c r="U164" s="564"/>
      <c r="V164" s="628"/>
      <c r="W164" s="564"/>
      <c r="X164" s="565"/>
      <c r="Y164" s="563"/>
      <c r="Z164" s="568"/>
      <c r="AA164" s="568"/>
      <c r="AB164" s="598"/>
      <c r="AD164" s="583"/>
    </row>
    <row r="165" spans="1:46" x14ac:dyDescent="0.25">
      <c r="A165" s="2260"/>
      <c r="B165" s="2098"/>
      <c r="C165" s="2205"/>
      <c r="D165" s="2205"/>
      <c r="E165" s="2208"/>
      <c r="F165" s="1152"/>
      <c r="G165" s="2262"/>
      <c r="H165" s="2263"/>
      <c r="I165" s="2211"/>
      <c r="J165" s="2211"/>
      <c r="K165" s="2211"/>
      <c r="L165" s="2205"/>
      <c r="M165" s="2208"/>
      <c r="N165" s="2205"/>
      <c r="O165" s="549" t="s">
        <v>94</v>
      </c>
      <c r="P165" s="569"/>
      <c r="Q165" s="570"/>
      <c r="R165" s="552"/>
      <c r="S165" s="580"/>
      <c r="T165" s="562"/>
      <c r="U165" s="562"/>
      <c r="V165" s="627"/>
      <c r="W165" s="552"/>
      <c r="X165" s="553"/>
      <c r="Y165" s="568"/>
      <c r="Z165" s="568"/>
      <c r="AA165" s="568"/>
      <c r="AB165" s="598"/>
      <c r="AD165" s="583"/>
    </row>
    <row r="166" spans="1:46" s="582" customFormat="1" ht="15.6" x14ac:dyDescent="0.25">
      <c r="A166" s="585"/>
      <c r="B166" s="1165" t="s">
        <v>513</v>
      </c>
      <c r="C166" s="586"/>
      <c r="D166" s="671">
        <f>D163</f>
        <v>8</v>
      </c>
      <c r="E166" s="587"/>
      <c r="F166" s="587"/>
      <c r="G166" s="1159">
        <f>G163</f>
        <v>3422811.69</v>
      </c>
      <c r="H166" s="1159">
        <f>H163</f>
        <v>3422811.69</v>
      </c>
      <c r="I166" s="1159">
        <f>I163</f>
        <v>775762.52117032546</v>
      </c>
      <c r="J166" s="1159">
        <f>J163</f>
        <v>775762.52117032546</v>
      </c>
      <c r="K166" s="1159">
        <f>K163</f>
        <v>1871286.647659349</v>
      </c>
      <c r="L166" s="586"/>
      <c r="M166" s="587"/>
      <c r="N166" s="586"/>
      <c r="O166" s="588"/>
      <c r="P166" s="589"/>
      <c r="Q166" s="590"/>
      <c r="R166" s="591"/>
      <c r="S166" s="590"/>
      <c r="T166" s="592"/>
      <c r="U166" s="592"/>
      <c r="V166" s="668"/>
      <c r="W166" s="591"/>
      <c r="X166" s="669"/>
      <c r="Y166" s="593"/>
      <c r="Z166" s="593"/>
      <c r="AA166" s="593"/>
      <c r="AB166" s="595"/>
      <c r="AD166" s="670"/>
      <c r="AE166" s="603"/>
    </row>
    <row r="167" spans="1:46" s="1183" customFormat="1" ht="15.6" x14ac:dyDescent="0.25">
      <c r="A167" s="1206"/>
      <c r="B167" s="1227" t="s">
        <v>515</v>
      </c>
      <c r="C167" s="1208"/>
      <c r="D167" s="1228"/>
      <c r="E167" s="1209"/>
      <c r="F167" s="1209"/>
      <c r="G167" s="1210"/>
      <c r="H167" s="1211"/>
      <c r="I167" s="1229"/>
      <c r="J167" s="1229"/>
      <c r="K167" s="1229"/>
      <c r="L167" s="1208"/>
      <c r="M167" s="1209"/>
      <c r="N167" s="1208"/>
      <c r="O167" s="1177"/>
      <c r="P167" s="1212"/>
      <c r="Q167" s="1213"/>
      <c r="R167" s="1214"/>
      <c r="S167" s="1213"/>
      <c r="T167" s="1179"/>
      <c r="U167" s="1179"/>
      <c r="V167" s="1230"/>
      <c r="W167" s="1214"/>
      <c r="X167" s="1231"/>
      <c r="Y167" s="1217"/>
      <c r="Z167" s="1217"/>
      <c r="AA167" s="1217"/>
      <c r="AB167" s="1199"/>
      <c r="AD167" s="1201"/>
      <c r="AE167" s="1205"/>
    </row>
    <row r="168" spans="1:46" ht="13.8" customHeight="1" x14ac:dyDescent="0.25">
      <c r="A168" s="2260">
        <v>49</v>
      </c>
      <c r="B168" s="2098" t="s">
        <v>516</v>
      </c>
      <c r="C168" s="2205" t="s">
        <v>517</v>
      </c>
      <c r="D168" s="2261">
        <v>2.4</v>
      </c>
      <c r="E168" s="2206" t="s">
        <v>869</v>
      </c>
      <c r="F168" s="1150"/>
      <c r="G168" s="2262">
        <v>6573707.2599999998</v>
      </c>
      <c r="H168" s="2263">
        <f>G168</f>
        <v>6573707.2599999998</v>
      </c>
      <c r="I168" s="2209">
        <f>J168</f>
        <v>1489896.6637142904</v>
      </c>
      <c r="J168" s="2209">
        <f>K168*0.414561030583245</f>
        <v>1489896.6637142904</v>
      </c>
      <c r="K168" s="2209">
        <f>H168/1.82912206116649</f>
        <v>3593913.932571419</v>
      </c>
      <c r="L168" s="2205"/>
      <c r="M168" s="2206" t="s">
        <v>96</v>
      </c>
      <c r="N168" s="2205" t="s">
        <v>91</v>
      </c>
      <c r="O168" s="549" t="s">
        <v>92</v>
      </c>
      <c r="P168" s="550">
        <f>Q168-7</f>
        <v>44130</v>
      </c>
      <c r="Q168" s="551">
        <f>R168-7</f>
        <v>44137</v>
      </c>
      <c r="R168" s="552">
        <v>44144</v>
      </c>
      <c r="S168" s="552">
        <f>R168+30</f>
        <v>44174</v>
      </c>
      <c r="T168" s="552">
        <f>S168+7</f>
        <v>44181</v>
      </c>
      <c r="U168" s="552">
        <f>T168+7</f>
        <v>44188</v>
      </c>
      <c r="V168" s="619"/>
      <c r="W168" s="552">
        <f>U168+7</f>
        <v>44195</v>
      </c>
      <c r="X168" s="553">
        <f>W168+7</f>
        <v>44202</v>
      </c>
      <c r="Y168" s="554">
        <f>X168+7</f>
        <v>44209</v>
      </c>
      <c r="Z168" s="554">
        <f>Y168+180</f>
        <v>44389</v>
      </c>
      <c r="AA168" s="554">
        <f>Z168+365</f>
        <v>44754</v>
      </c>
      <c r="AB168" s="620"/>
      <c r="AD168" s="583"/>
    </row>
    <row r="169" spans="1:46" x14ac:dyDescent="0.25">
      <c r="A169" s="2260"/>
      <c r="B169" s="2098"/>
      <c r="C169" s="2205"/>
      <c r="D169" s="2205"/>
      <c r="E169" s="2207"/>
      <c r="F169" s="1151"/>
      <c r="G169" s="2262"/>
      <c r="H169" s="2263"/>
      <c r="I169" s="2210"/>
      <c r="J169" s="2210"/>
      <c r="K169" s="2210"/>
      <c r="L169" s="2205"/>
      <c r="M169" s="2207"/>
      <c r="N169" s="2205"/>
      <c r="O169" s="549" t="s">
        <v>93</v>
      </c>
      <c r="P169" s="555"/>
      <c r="Q169" s="556"/>
      <c r="R169" s="555"/>
      <c r="S169" s="555"/>
      <c r="T169" s="555"/>
      <c r="U169" s="556"/>
      <c r="V169" s="621"/>
      <c r="W169" s="557"/>
      <c r="X169" s="558"/>
      <c r="Y169" s="559"/>
      <c r="Z169" s="568"/>
      <c r="AA169" s="559"/>
      <c r="AB169" s="598"/>
      <c r="AD169" s="583"/>
    </row>
    <row r="170" spans="1:46" x14ac:dyDescent="0.25">
      <c r="A170" s="2260"/>
      <c r="B170" s="2098"/>
      <c r="C170" s="2205"/>
      <c r="D170" s="2205"/>
      <c r="E170" s="2208"/>
      <c r="F170" s="1152"/>
      <c r="G170" s="2262"/>
      <c r="H170" s="2263"/>
      <c r="I170" s="2211"/>
      <c r="J170" s="2211"/>
      <c r="K170" s="2211"/>
      <c r="L170" s="2205"/>
      <c r="M170" s="2208"/>
      <c r="N170" s="2205"/>
      <c r="O170" s="549" t="s">
        <v>94</v>
      </c>
      <c r="P170" s="560"/>
      <c r="Q170" s="561"/>
      <c r="R170" s="557"/>
      <c r="S170" s="557"/>
      <c r="T170" s="562"/>
      <c r="U170" s="562"/>
      <c r="V170" s="623"/>
      <c r="W170" s="562"/>
      <c r="X170" s="558"/>
      <c r="Y170" s="559"/>
      <c r="AB170" s="598"/>
      <c r="AD170" s="583"/>
    </row>
    <row r="171" spans="1:46" s="582" customFormat="1" ht="17.399999999999999" x14ac:dyDescent="0.25">
      <c r="A171" s="585"/>
      <c r="B171" s="1166" t="s">
        <v>518</v>
      </c>
      <c r="C171" s="586"/>
      <c r="D171" s="671">
        <f>D168</f>
        <v>2.4</v>
      </c>
      <c r="E171" s="587"/>
      <c r="F171" s="587"/>
      <c r="G171" s="1159">
        <f>G168</f>
        <v>6573707.2599999998</v>
      </c>
      <c r="H171" s="1159">
        <f>H168</f>
        <v>6573707.2599999998</v>
      </c>
      <c r="I171" s="1159">
        <f>I168</f>
        <v>1489896.6637142904</v>
      </c>
      <c r="J171" s="1159">
        <f>J168</f>
        <v>1489896.6637142904</v>
      </c>
      <c r="K171" s="1159">
        <f>K168</f>
        <v>3593913.932571419</v>
      </c>
      <c r="L171" s="586"/>
      <c r="M171" s="587"/>
      <c r="N171" s="586"/>
      <c r="O171" s="588"/>
      <c r="P171" s="589"/>
      <c r="Q171" s="590"/>
      <c r="R171" s="591"/>
      <c r="S171" s="590"/>
      <c r="T171" s="592"/>
      <c r="U171" s="592"/>
      <c r="V171" s="668"/>
      <c r="W171" s="591"/>
      <c r="X171" s="669"/>
      <c r="Y171" s="593"/>
      <c r="Z171" s="593"/>
      <c r="AA171" s="593"/>
      <c r="AB171" s="672"/>
      <c r="AD171" s="670"/>
      <c r="AE171" s="603"/>
    </row>
    <row r="172" spans="1:46" s="1183" customFormat="1" ht="17.399999999999999" x14ac:dyDescent="0.25">
      <c r="A172" s="1206"/>
      <c r="B172" s="1207" t="s">
        <v>750</v>
      </c>
      <c r="C172" s="1208"/>
      <c r="D172" s="1208"/>
      <c r="E172" s="1209"/>
      <c r="F172" s="1209"/>
      <c r="G172" s="1210"/>
      <c r="H172" s="1211"/>
      <c r="I172" s="1232"/>
      <c r="J172" s="1232"/>
      <c r="K172" s="1232"/>
      <c r="L172" s="1208"/>
      <c r="M172" s="1209"/>
      <c r="N172" s="1208"/>
      <c r="O172" s="1177"/>
      <c r="P172" s="1212"/>
      <c r="Q172" s="1213"/>
      <c r="R172" s="1214"/>
      <c r="S172" s="1213"/>
      <c r="T172" s="1179"/>
      <c r="U172" s="1179"/>
      <c r="V172" s="1230"/>
      <c r="W172" s="1214"/>
      <c r="X172" s="1231"/>
      <c r="Y172" s="1217"/>
      <c r="Z172" s="1217"/>
      <c r="AA172" s="1217"/>
      <c r="AB172" s="1233"/>
      <c r="AD172" s="1201"/>
      <c r="AE172" s="1205"/>
    </row>
    <row r="173" spans="1:46" s="536" customFormat="1" ht="13.8" customHeight="1" x14ac:dyDescent="0.25">
      <c r="A173" s="2260">
        <v>50</v>
      </c>
      <c r="B173" s="2098" t="s">
        <v>751</v>
      </c>
      <c r="C173" s="2205" t="s">
        <v>1046</v>
      </c>
      <c r="D173" s="2261">
        <v>3.45</v>
      </c>
      <c r="E173" s="2206" t="s">
        <v>870</v>
      </c>
      <c r="F173" s="1150"/>
      <c r="G173" s="2262">
        <v>1000000</v>
      </c>
      <c r="H173" s="1423">
        <f>G173</f>
        <v>1000000</v>
      </c>
      <c r="I173" s="2209">
        <f>J173</f>
        <v>226644.81468167636</v>
      </c>
      <c r="J173" s="2209">
        <f>K173*0.414561030583245</f>
        <v>226644.81468167636</v>
      </c>
      <c r="K173" s="2209">
        <f>H173/1.82912206116649</f>
        <v>546710.37063664733</v>
      </c>
      <c r="L173" s="2205"/>
      <c r="M173" s="2206" t="s">
        <v>297</v>
      </c>
      <c r="N173" s="2205" t="s">
        <v>91</v>
      </c>
      <c r="O173" s="549" t="s">
        <v>92</v>
      </c>
      <c r="P173" s="550">
        <v>44130</v>
      </c>
      <c r="Q173" s="551">
        <v>44137</v>
      </c>
      <c r="R173" s="552" t="s">
        <v>104</v>
      </c>
      <c r="S173" s="552" t="s">
        <v>104</v>
      </c>
      <c r="T173" s="552" t="s">
        <v>104</v>
      </c>
      <c r="U173" s="552" t="s">
        <v>104</v>
      </c>
      <c r="V173" s="619"/>
      <c r="W173" s="552">
        <v>44187</v>
      </c>
      <c r="X173" s="553">
        <v>44194</v>
      </c>
      <c r="Y173" s="554">
        <v>44201</v>
      </c>
      <c r="Z173" s="554">
        <v>44351</v>
      </c>
      <c r="AA173" s="554">
        <v>44716</v>
      </c>
      <c r="AB173" s="620"/>
      <c r="AC173" s="523"/>
      <c r="AD173" s="523"/>
      <c r="AE173" s="602"/>
      <c r="AF173" s="523"/>
      <c r="AG173" s="523"/>
      <c r="AH173" s="523"/>
      <c r="AI173" s="523"/>
      <c r="AJ173" s="523"/>
      <c r="AK173" s="523"/>
      <c r="AL173" s="523"/>
      <c r="AM173" s="523"/>
      <c r="AN173" s="523"/>
      <c r="AO173" s="523"/>
      <c r="AP173" s="523"/>
      <c r="AQ173" s="523"/>
      <c r="AR173" s="523"/>
      <c r="AS173" s="523"/>
      <c r="AT173" s="523"/>
    </row>
    <row r="174" spans="1:46" ht="13.8" customHeight="1" x14ac:dyDescent="0.25">
      <c r="A174" s="2260"/>
      <c r="B174" s="2098"/>
      <c r="C174" s="2205"/>
      <c r="D174" s="2205"/>
      <c r="E174" s="2207"/>
      <c r="F174" s="1151"/>
      <c r="G174" s="2262"/>
      <c r="H174" s="1424"/>
      <c r="I174" s="2210"/>
      <c r="J174" s="2210"/>
      <c r="K174" s="2210"/>
      <c r="L174" s="2205"/>
      <c r="M174" s="2207"/>
      <c r="N174" s="2205"/>
      <c r="O174" s="549" t="s">
        <v>93</v>
      </c>
      <c r="P174" s="555"/>
      <c r="Q174" s="556"/>
      <c r="R174" s="555"/>
      <c r="S174" s="555"/>
      <c r="T174" s="555"/>
      <c r="U174" s="556"/>
      <c r="V174" s="621"/>
      <c r="W174" s="557"/>
      <c r="X174" s="558"/>
      <c r="Y174" s="559"/>
      <c r="Z174" s="568"/>
      <c r="AA174" s="559"/>
      <c r="AB174" s="598"/>
    </row>
    <row r="175" spans="1:46" ht="13.8" customHeight="1" x14ac:dyDescent="0.25">
      <c r="A175" s="2260"/>
      <c r="B175" s="2098"/>
      <c r="C175" s="2205"/>
      <c r="D175" s="2205"/>
      <c r="E175" s="2208"/>
      <c r="F175" s="1152"/>
      <c r="G175" s="2262"/>
      <c r="H175" s="1425"/>
      <c r="I175" s="2211"/>
      <c r="J175" s="2211"/>
      <c r="K175" s="2211"/>
      <c r="L175" s="2205"/>
      <c r="M175" s="2208"/>
      <c r="N175" s="2205"/>
      <c r="O175" s="549" t="s">
        <v>94</v>
      </c>
      <c r="P175" s="560"/>
      <c r="Q175" s="561"/>
      <c r="R175" s="557"/>
      <c r="S175" s="557"/>
      <c r="T175" s="562"/>
      <c r="U175" s="562"/>
      <c r="V175" s="623"/>
      <c r="W175" s="562"/>
      <c r="X175" s="558"/>
      <c r="Y175" s="559"/>
      <c r="AB175" s="598"/>
    </row>
    <row r="176" spans="1:46" s="582" customFormat="1" ht="17.399999999999999" x14ac:dyDescent="0.25">
      <c r="A176" s="585"/>
      <c r="B176" s="1166" t="s">
        <v>752</v>
      </c>
      <c r="C176" s="586"/>
      <c r="D176" s="671">
        <f>D173</f>
        <v>3.45</v>
      </c>
      <c r="E176" s="587"/>
      <c r="F176" s="587"/>
      <c r="G176" s="1159">
        <f>G173</f>
        <v>1000000</v>
      </c>
      <c r="H176" s="1159">
        <f>H173</f>
        <v>1000000</v>
      </c>
      <c r="I176" s="1159">
        <f>I173</f>
        <v>226644.81468167636</v>
      </c>
      <c r="J176" s="1159">
        <f>J173</f>
        <v>226644.81468167636</v>
      </c>
      <c r="K176" s="1159">
        <f>K173</f>
        <v>546710.37063664733</v>
      </c>
      <c r="L176" s="586"/>
      <c r="M176" s="587"/>
      <c r="N176" s="586"/>
      <c r="O176" s="588"/>
      <c r="P176" s="589"/>
      <c r="Q176" s="590"/>
      <c r="R176" s="591"/>
      <c r="S176" s="590"/>
      <c r="T176" s="592"/>
      <c r="U176" s="592"/>
      <c r="V176" s="668"/>
      <c r="W176" s="591"/>
      <c r="X176" s="669"/>
      <c r="Y176" s="593"/>
      <c r="Z176" s="593"/>
      <c r="AA176" s="593"/>
      <c r="AB176" s="595"/>
      <c r="AE176" s="603"/>
    </row>
    <row r="177" spans="1:46" ht="17.399999999999999" x14ac:dyDescent="0.3">
      <c r="A177" s="631"/>
      <c r="B177" s="1167" t="s">
        <v>477</v>
      </c>
      <c r="C177" s="632"/>
      <c r="D177" s="633"/>
      <c r="E177" s="632"/>
      <c r="F177" s="632"/>
      <c r="G177" s="1160">
        <f>G104+G142+G156+G161+G166+G171+G176</f>
        <v>112277399.98</v>
      </c>
      <c r="H177" s="1160">
        <f t="shared" ref="H177:K177" si="8">H104+H142+H156+H161+H166+H171+H176</f>
        <v>112277399.98</v>
      </c>
      <c r="I177" s="1160">
        <f t="shared" si="8"/>
        <v>25447090.51140755</v>
      </c>
      <c r="J177" s="1160">
        <f t="shared" si="8"/>
        <v>25447090.51140755</v>
      </c>
      <c r="K177" s="1160">
        <f t="shared" si="8"/>
        <v>61383218.957184903</v>
      </c>
      <c r="L177" s="632"/>
      <c r="M177" s="632"/>
      <c r="N177" s="632"/>
      <c r="O177" s="632"/>
      <c r="P177" s="632"/>
      <c r="Q177" s="632"/>
      <c r="R177" s="632"/>
      <c r="S177" s="632"/>
      <c r="T177" s="632"/>
      <c r="U177" s="632"/>
      <c r="V177" s="634"/>
      <c r="W177" s="632"/>
      <c r="X177" s="635"/>
      <c r="Y177" s="636"/>
      <c r="Z177" s="636"/>
      <c r="AA177" s="636"/>
      <c r="AB177" s="637"/>
    </row>
    <row r="178" spans="1:46" s="581" customFormat="1" ht="14.4" x14ac:dyDescent="0.25">
      <c r="A178" s="638"/>
      <c r="B178" s="639" t="s">
        <v>478</v>
      </c>
      <c r="C178" s="640"/>
      <c r="D178" s="640"/>
      <c r="E178" s="640"/>
      <c r="F178" s="640"/>
      <c r="G178" s="1161"/>
      <c r="H178" s="641"/>
      <c r="I178" s="1161"/>
      <c r="J178" s="1161"/>
      <c r="K178" s="1161"/>
      <c r="L178" s="640"/>
      <c r="M178" s="640"/>
      <c r="N178" s="640"/>
      <c r="O178" s="642"/>
      <c r="P178" s="643"/>
      <c r="Q178" s="644"/>
      <c r="R178" s="645"/>
      <c r="S178" s="644"/>
      <c r="T178" s="646"/>
      <c r="U178" s="646"/>
      <c r="V178" s="647"/>
      <c r="W178" s="645"/>
      <c r="X178" s="645"/>
      <c r="Y178" s="648"/>
      <c r="Z178" s="648"/>
      <c r="AA178" s="648"/>
      <c r="AB178" s="649"/>
      <c r="AC178" s="523"/>
      <c r="AD178" s="523"/>
      <c r="AE178" s="602"/>
      <c r="AF178" s="523"/>
      <c r="AG178" s="523"/>
      <c r="AH178" s="523"/>
      <c r="AI178" s="523"/>
      <c r="AJ178" s="523"/>
      <c r="AK178" s="523"/>
      <c r="AL178" s="523"/>
      <c r="AM178" s="523"/>
      <c r="AN178" s="523"/>
      <c r="AO178" s="523"/>
      <c r="AP178" s="523"/>
      <c r="AQ178" s="523"/>
      <c r="AR178" s="523"/>
      <c r="AS178" s="523"/>
      <c r="AT178" s="523"/>
    </row>
    <row r="179" spans="1:46" s="650" customFormat="1" x14ac:dyDescent="0.25">
      <c r="A179" s="1275"/>
      <c r="B179" s="650" t="s">
        <v>150</v>
      </c>
      <c r="D179" s="651"/>
      <c r="G179" s="654"/>
      <c r="H179" s="652"/>
      <c r="I179" s="654"/>
      <c r="J179" s="654"/>
      <c r="K179" s="654"/>
      <c r="O179" s="653"/>
      <c r="V179" s="1275"/>
      <c r="X179" s="1275"/>
      <c r="Y179" s="1276"/>
      <c r="Z179" s="1276"/>
      <c r="AA179" s="1276"/>
      <c r="AB179" s="1277"/>
      <c r="AE179" s="1278"/>
    </row>
    <row r="180" spans="1:46" x14ac:dyDescent="0.25">
      <c r="A180" s="2204">
        <v>1</v>
      </c>
      <c r="B180" s="2095" t="s">
        <v>760</v>
      </c>
      <c r="C180" s="2205" t="s">
        <v>474</v>
      </c>
      <c r="D180" s="548"/>
      <c r="E180" s="2206" t="s">
        <v>871</v>
      </c>
      <c r="F180" s="1150"/>
      <c r="G180" s="2232">
        <v>2353222.5699999998</v>
      </c>
      <c r="H180" s="1321">
        <f>G180</f>
        <v>2353222.5699999998</v>
      </c>
      <c r="I180" s="2209">
        <f>J180</f>
        <v>536885.85803655162</v>
      </c>
      <c r="J180" s="2209">
        <f>K180*0.419622103020793</f>
        <v>536885.85803655162</v>
      </c>
      <c r="K180" s="2209">
        <f>H180/1.83924420604159</f>
        <v>1279450.8539268915</v>
      </c>
      <c r="L180" s="2227"/>
      <c r="M180" s="2200" t="s">
        <v>90</v>
      </c>
      <c r="N180" s="2200" t="s">
        <v>91</v>
      </c>
      <c r="O180" s="549" t="s">
        <v>92</v>
      </c>
      <c r="P180" s="1621">
        <v>43752</v>
      </c>
      <c r="Q180" s="1622">
        <f>P180+7</f>
        <v>43759</v>
      </c>
      <c r="R180" s="1623">
        <v>43916</v>
      </c>
      <c r="S180" s="1623">
        <f>R180+15</f>
        <v>43931</v>
      </c>
      <c r="T180" s="1623">
        <v>43937</v>
      </c>
      <c r="U180" s="1623">
        <f>T180+7</f>
        <v>43944</v>
      </c>
      <c r="V180" s="1624"/>
      <c r="W180" s="1623">
        <v>43950</v>
      </c>
      <c r="X180" s="1625">
        <v>43955</v>
      </c>
      <c r="Y180" s="1626">
        <v>43959</v>
      </c>
      <c r="Z180" s="1626">
        <v>44015</v>
      </c>
      <c r="AA180" s="1626">
        <f>Z180+365</f>
        <v>44380</v>
      </c>
      <c r="AB180" s="620"/>
    </row>
    <row r="181" spans="1:46" ht="13.8" customHeight="1" x14ac:dyDescent="0.25">
      <c r="A181" s="2204"/>
      <c r="B181" s="2096"/>
      <c r="C181" s="2205"/>
      <c r="D181" s="548">
        <v>3745</v>
      </c>
      <c r="E181" s="2207"/>
      <c r="F181" s="1151"/>
      <c r="G181" s="2233"/>
      <c r="H181" s="1326"/>
      <c r="I181" s="2210"/>
      <c r="J181" s="2210"/>
      <c r="K181" s="2210"/>
      <c r="L181" s="2228"/>
      <c r="M181" s="2201"/>
      <c r="N181" s="2201"/>
      <c r="O181" s="549" t="s">
        <v>93</v>
      </c>
      <c r="P181" s="555"/>
      <c r="Q181" s="556"/>
      <c r="R181" s="555"/>
      <c r="S181" s="555"/>
      <c r="T181" s="555"/>
      <c r="U181" s="556"/>
      <c r="V181" s="621">
        <v>2353222.5699999998</v>
      </c>
      <c r="W181" s="557"/>
      <c r="X181" s="558"/>
      <c r="Y181" s="559"/>
      <c r="Z181" s="568">
        <v>44114</v>
      </c>
      <c r="AA181" s="559">
        <f>Z181+365</f>
        <v>44479</v>
      </c>
      <c r="AB181" s="622"/>
      <c r="AC181" s="583">
        <f>V181-AB181</f>
        <v>2353222.5699999998</v>
      </c>
      <c r="AE181" s="523"/>
    </row>
    <row r="182" spans="1:46" ht="13.8" customHeight="1" x14ac:dyDescent="0.25">
      <c r="A182" s="2204"/>
      <c r="B182" s="2097"/>
      <c r="C182" s="2205"/>
      <c r="D182" s="548"/>
      <c r="E182" s="2208"/>
      <c r="F182" s="1152"/>
      <c r="G182" s="2234"/>
      <c r="H182" s="1327"/>
      <c r="I182" s="2211"/>
      <c r="J182" s="2211"/>
      <c r="K182" s="2211"/>
      <c r="L182" s="2229"/>
      <c r="M182" s="2202"/>
      <c r="N182" s="2202"/>
      <c r="O182" s="549" t="s">
        <v>94</v>
      </c>
      <c r="P182" s="1619">
        <v>43752</v>
      </c>
      <c r="Q182" s="1620">
        <f>P182+7</f>
        <v>43759</v>
      </c>
      <c r="R182" s="1179">
        <v>43920</v>
      </c>
      <c r="S182" s="1179">
        <v>43935</v>
      </c>
      <c r="T182" s="1179">
        <v>43938</v>
      </c>
      <c r="U182" s="1179">
        <v>43944</v>
      </c>
      <c r="V182" s="1627"/>
      <c r="W182" s="1179">
        <v>43957</v>
      </c>
      <c r="X182" s="1628">
        <v>43958</v>
      </c>
      <c r="Y182" s="1181">
        <v>43959</v>
      </c>
      <c r="Z182" s="563"/>
      <c r="AA182" s="559"/>
      <c r="AB182" s="622"/>
      <c r="AC182" s="583">
        <f t="shared" ref="AC182:AC200" si="9">V182-AB182</f>
        <v>0</v>
      </c>
      <c r="AE182" s="523"/>
    </row>
    <row r="183" spans="1:46" ht="13.8" customHeight="1" x14ac:dyDescent="0.25">
      <c r="A183" s="2264">
        <v>2</v>
      </c>
      <c r="B183" s="2095" t="s">
        <v>492</v>
      </c>
      <c r="C183" s="2206" t="s">
        <v>475</v>
      </c>
      <c r="D183" s="548"/>
      <c r="E183" s="2206" t="s">
        <v>497</v>
      </c>
      <c r="F183" s="1150"/>
      <c r="G183" s="2232">
        <v>653712.94999999995</v>
      </c>
      <c r="H183" s="1260">
        <f>G183</f>
        <v>653712.94999999995</v>
      </c>
      <c r="I183" s="2209">
        <f>J183</f>
        <v>149144.08970263929</v>
      </c>
      <c r="J183" s="2209">
        <f>K183*0.419622103020793</f>
        <v>149144.08970263929</v>
      </c>
      <c r="K183" s="2209">
        <f>H183/1.83924420604159</f>
        <v>355424.77059471997</v>
      </c>
      <c r="L183" s="2227"/>
      <c r="M183" s="2200" t="s">
        <v>90</v>
      </c>
      <c r="N183" s="2200" t="s">
        <v>91</v>
      </c>
      <c r="O183" s="549" t="s">
        <v>92</v>
      </c>
      <c r="P183" s="550">
        <v>43752</v>
      </c>
      <c r="Q183" s="551">
        <f>P183+7</f>
        <v>43759</v>
      </c>
      <c r="R183" s="552">
        <f>Q183+7</f>
        <v>43766</v>
      </c>
      <c r="S183" s="552">
        <f>R183+15</f>
        <v>43781</v>
      </c>
      <c r="T183" s="552">
        <v>43802</v>
      </c>
      <c r="U183" s="552">
        <f>T183+7</f>
        <v>43809</v>
      </c>
      <c r="V183" s="619"/>
      <c r="W183" s="552">
        <v>43816</v>
      </c>
      <c r="X183" s="553">
        <v>43829</v>
      </c>
      <c r="Y183" s="554">
        <v>43834</v>
      </c>
      <c r="Z183" s="554">
        <v>43954</v>
      </c>
      <c r="AA183" s="554">
        <f>Z183+365</f>
        <v>44319</v>
      </c>
      <c r="AC183" s="583">
        <f t="shared" si="9"/>
        <v>0</v>
      </c>
      <c r="AE183" s="523"/>
    </row>
    <row r="184" spans="1:46" ht="14.4" customHeight="1" x14ac:dyDescent="0.25">
      <c r="A184" s="2265"/>
      <c r="B184" s="2096"/>
      <c r="C184" s="2207"/>
      <c r="D184" s="548">
        <v>70</v>
      </c>
      <c r="E184" s="2207"/>
      <c r="F184" s="1151"/>
      <c r="G184" s="2233"/>
      <c r="H184" s="1261"/>
      <c r="I184" s="2210"/>
      <c r="J184" s="2210"/>
      <c r="K184" s="2210"/>
      <c r="L184" s="2228"/>
      <c r="M184" s="2201"/>
      <c r="N184" s="2201"/>
      <c r="O184" s="549" t="s">
        <v>93</v>
      </c>
      <c r="P184" s="564"/>
      <c r="Q184" s="564"/>
      <c r="R184" s="564"/>
      <c r="S184" s="564"/>
      <c r="T184" s="564"/>
      <c r="U184" s="564"/>
      <c r="V184" s="621">
        <v>1931915.31</v>
      </c>
      <c r="W184" s="564"/>
      <c r="X184" s="565"/>
      <c r="Y184" s="563"/>
      <c r="Z184" s="568">
        <v>44114</v>
      </c>
      <c r="AA184" s="559">
        <f>Z184+365</f>
        <v>44479</v>
      </c>
      <c r="AB184" s="620">
        <v>1278202.3600000001</v>
      </c>
      <c r="AC184" s="583">
        <f t="shared" si="9"/>
        <v>653712.94999999995</v>
      </c>
      <c r="AE184" s="523"/>
    </row>
    <row r="185" spans="1:46" ht="14.4" customHeight="1" x14ac:dyDescent="0.25">
      <c r="A185" s="2266"/>
      <c r="B185" s="2097"/>
      <c r="C185" s="2208"/>
      <c r="D185" s="548"/>
      <c r="E185" s="2208"/>
      <c r="F185" s="1152"/>
      <c r="G185" s="2234"/>
      <c r="H185" s="1262"/>
      <c r="I185" s="2211"/>
      <c r="J185" s="2211"/>
      <c r="K185" s="2211"/>
      <c r="L185" s="2229"/>
      <c r="M185" s="2202"/>
      <c r="N185" s="2202"/>
      <c r="O185" s="549" t="s">
        <v>94</v>
      </c>
      <c r="P185" s="550">
        <v>43752</v>
      </c>
      <c r="Q185" s="551">
        <f>P185+7</f>
        <v>43759</v>
      </c>
      <c r="R185" s="557">
        <v>43766</v>
      </c>
      <c r="S185" s="557">
        <v>43781</v>
      </c>
      <c r="T185" s="562">
        <v>43802</v>
      </c>
      <c r="U185" s="562">
        <v>43809</v>
      </c>
      <c r="V185" s="623"/>
      <c r="W185" s="562">
        <v>43816</v>
      </c>
      <c r="X185" s="558">
        <v>43825</v>
      </c>
      <c r="Y185" s="559">
        <v>43836</v>
      </c>
      <c r="Z185" s="563"/>
      <c r="AA185" s="559"/>
      <c r="AB185" s="622"/>
      <c r="AC185" s="583">
        <f t="shared" si="9"/>
        <v>0</v>
      </c>
      <c r="AE185" s="523"/>
    </row>
    <row r="186" spans="1:46" ht="14.4" customHeight="1" x14ac:dyDescent="0.25">
      <c r="A186" s="2204">
        <v>3</v>
      </c>
      <c r="B186" s="2153" t="s">
        <v>493</v>
      </c>
      <c r="C186" s="2205" t="s">
        <v>475</v>
      </c>
      <c r="D186" s="548"/>
      <c r="E186" s="2206" t="s">
        <v>872</v>
      </c>
      <c r="F186" s="1150"/>
      <c r="G186" s="2267">
        <v>674018.23</v>
      </c>
      <c r="H186" s="1260">
        <f>G186</f>
        <v>674018.23</v>
      </c>
      <c r="I186" s="2209">
        <f>J186</f>
        <v>153776.7231876532</v>
      </c>
      <c r="J186" s="2209">
        <f>K186*0.419622103020793</f>
        <v>153776.7231876532</v>
      </c>
      <c r="K186" s="2209">
        <f>H186/1.83924420604159</f>
        <v>366464.78362469218</v>
      </c>
      <c r="L186" s="2227"/>
      <c r="M186" s="2200" t="s">
        <v>90</v>
      </c>
      <c r="N186" s="2200" t="s">
        <v>91</v>
      </c>
      <c r="O186" s="549" t="s">
        <v>92</v>
      </c>
      <c r="P186" s="550">
        <v>43752</v>
      </c>
      <c r="Q186" s="551">
        <f>P186+7</f>
        <v>43759</v>
      </c>
      <c r="R186" s="552">
        <f>Q186+7</f>
        <v>43766</v>
      </c>
      <c r="S186" s="552">
        <f>R186+15</f>
        <v>43781</v>
      </c>
      <c r="T186" s="552">
        <v>43802</v>
      </c>
      <c r="U186" s="552">
        <f>T186+7</f>
        <v>43809</v>
      </c>
      <c r="V186" s="619"/>
      <c r="W186" s="552">
        <v>43816</v>
      </c>
      <c r="X186" s="553">
        <v>43829</v>
      </c>
      <c r="Y186" s="554">
        <v>43834</v>
      </c>
      <c r="Z186" s="554">
        <v>43954</v>
      </c>
      <c r="AA186" s="554">
        <f>Z186+365</f>
        <v>44319</v>
      </c>
      <c r="AB186" s="620"/>
      <c r="AC186" s="583">
        <f t="shared" si="9"/>
        <v>0</v>
      </c>
      <c r="AE186" s="523"/>
    </row>
    <row r="187" spans="1:46" ht="14.4" customHeight="1" x14ac:dyDescent="0.25">
      <c r="A187" s="2204"/>
      <c r="B187" s="2154"/>
      <c r="C187" s="2205"/>
      <c r="D187" s="548">
        <v>140</v>
      </c>
      <c r="E187" s="2207"/>
      <c r="F187" s="1151"/>
      <c r="G187" s="2268"/>
      <c r="H187" s="1261"/>
      <c r="I187" s="2210"/>
      <c r="J187" s="2210"/>
      <c r="K187" s="2210"/>
      <c r="L187" s="2228"/>
      <c r="M187" s="2201"/>
      <c r="N187" s="2201"/>
      <c r="O187" s="549" t="s">
        <v>93</v>
      </c>
      <c r="P187" s="564"/>
      <c r="Q187" s="564"/>
      <c r="R187" s="564"/>
      <c r="S187" s="564"/>
      <c r="T187" s="564"/>
      <c r="U187" s="564"/>
      <c r="V187" s="621">
        <v>2706749.21</v>
      </c>
      <c r="W187" s="564"/>
      <c r="X187" s="565"/>
      <c r="Y187" s="563"/>
      <c r="Z187" s="568">
        <v>44114</v>
      </c>
      <c r="AA187" s="559">
        <f>Z187+365</f>
        <v>44479</v>
      </c>
      <c r="AB187" s="622">
        <v>2032730.98</v>
      </c>
      <c r="AC187" s="583">
        <f t="shared" si="9"/>
        <v>674018.23</v>
      </c>
      <c r="AE187" s="523"/>
    </row>
    <row r="188" spans="1:46" ht="14.4" customHeight="1" x14ac:dyDescent="0.25">
      <c r="A188" s="2204"/>
      <c r="B188" s="2155"/>
      <c r="C188" s="2205"/>
      <c r="D188" s="548"/>
      <c r="E188" s="2208"/>
      <c r="F188" s="1152"/>
      <c r="G188" s="2269"/>
      <c r="H188" s="1262"/>
      <c r="I188" s="2211"/>
      <c r="J188" s="2211"/>
      <c r="K188" s="2211"/>
      <c r="L188" s="2229"/>
      <c r="M188" s="2202"/>
      <c r="N188" s="2202"/>
      <c r="O188" s="549" t="s">
        <v>94</v>
      </c>
      <c r="P188" s="550">
        <v>43752</v>
      </c>
      <c r="Q188" s="551">
        <f>P188+7</f>
        <v>43759</v>
      </c>
      <c r="R188" s="557">
        <v>43766</v>
      </c>
      <c r="S188" s="557">
        <v>43781</v>
      </c>
      <c r="T188" s="562">
        <v>43802</v>
      </c>
      <c r="U188" s="562">
        <v>43809</v>
      </c>
      <c r="V188" s="623"/>
      <c r="W188" s="562">
        <v>43816</v>
      </c>
      <c r="X188" s="558">
        <v>43825</v>
      </c>
      <c r="Y188" s="559">
        <v>43836</v>
      </c>
      <c r="Z188" s="563"/>
      <c r="AA188" s="559"/>
      <c r="AB188" s="622"/>
      <c r="AC188" s="583">
        <f t="shared" si="9"/>
        <v>0</v>
      </c>
    </row>
    <row r="189" spans="1:46" ht="14.4" customHeight="1" x14ac:dyDescent="0.25">
      <c r="A189" s="2204">
        <f>A186+1</f>
        <v>4</v>
      </c>
      <c r="B189" s="2095" t="s">
        <v>494</v>
      </c>
      <c r="C189" s="2205" t="s">
        <v>475</v>
      </c>
      <c r="D189" s="548"/>
      <c r="E189" s="2206" t="s">
        <v>498</v>
      </c>
      <c r="F189" s="1150"/>
      <c r="G189" s="2232">
        <v>552825.18000000005</v>
      </c>
      <c r="H189" s="1260">
        <f>G189</f>
        <v>552825.18000000005</v>
      </c>
      <c r="I189" s="2209">
        <f>J189</f>
        <v>126126.62520422417</v>
      </c>
      <c r="J189" s="2209">
        <f>K189*0.419622103020793</f>
        <v>126126.62520422417</v>
      </c>
      <c r="K189" s="2209">
        <f>H189/1.83924420604159</f>
        <v>300571.92959155055</v>
      </c>
      <c r="L189" s="2227"/>
      <c r="M189" s="2200" t="s">
        <v>90</v>
      </c>
      <c r="N189" s="2200" t="s">
        <v>91</v>
      </c>
      <c r="O189" s="549" t="s">
        <v>92</v>
      </c>
      <c r="P189" s="550">
        <v>43752</v>
      </c>
      <c r="Q189" s="551">
        <f>P189+7</f>
        <v>43759</v>
      </c>
      <c r="R189" s="552">
        <f>Q189+7</f>
        <v>43766</v>
      </c>
      <c r="S189" s="552">
        <f>R189+15</f>
        <v>43781</v>
      </c>
      <c r="T189" s="552">
        <v>43802</v>
      </c>
      <c r="U189" s="552">
        <f>T189+7</f>
        <v>43809</v>
      </c>
      <c r="V189" s="619"/>
      <c r="W189" s="552">
        <v>43816</v>
      </c>
      <c r="X189" s="553">
        <v>43829</v>
      </c>
      <c r="Y189" s="554">
        <v>43834</v>
      </c>
      <c r="Z189" s="554">
        <v>43954</v>
      </c>
      <c r="AA189" s="554">
        <f>Z189+365</f>
        <v>44319</v>
      </c>
      <c r="AB189" s="620"/>
      <c r="AC189" s="583">
        <f t="shared" si="9"/>
        <v>0</v>
      </c>
      <c r="AE189" s="523"/>
    </row>
    <row r="190" spans="1:46" ht="14.4" customHeight="1" x14ac:dyDescent="0.25">
      <c r="A190" s="2204"/>
      <c r="B190" s="2096"/>
      <c r="C190" s="2205"/>
      <c r="D190" s="548">
        <v>70</v>
      </c>
      <c r="E190" s="2207"/>
      <c r="F190" s="1151"/>
      <c r="G190" s="2233"/>
      <c r="H190" s="1261"/>
      <c r="I190" s="2210"/>
      <c r="J190" s="2210"/>
      <c r="K190" s="2210"/>
      <c r="L190" s="2228"/>
      <c r="M190" s="2201"/>
      <c r="N190" s="2201"/>
      <c r="O190" s="549" t="s">
        <v>93</v>
      </c>
      <c r="P190" s="564"/>
      <c r="Q190" s="564"/>
      <c r="R190" s="564"/>
      <c r="S190" s="564"/>
      <c r="T190" s="564"/>
      <c r="U190" s="564"/>
      <c r="V190" s="621">
        <v>1910739.55</v>
      </c>
      <c r="W190" s="564"/>
      <c r="X190" s="565"/>
      <c r="Y190" s="563"/>
      <c r="Z190" s="568">
        <v>44114</v>
      </c>
      <c r="AA190" s="559">
        <f>Z190+365</f>
        <v>44479</v>
      </c>
      <c r="AB190" s="622">
        <v>1357914.37</v>
      </c>
      <c r="AC190" s="583">
        <f t="shared" si="9"/>
        <v>552825.17999999993</v>
      </c>
    </row>
    <row r="191" spans="1:46" ht="14.4" customHeight="1" x14ac:dyDescent="0.25">
      <c r="A191" s="2204"/>
      <c r="B191" s="2097"/>
      <c r="C191" s="2205"/>
      <c r="D191" s="548"/>
      <c r="E191" s="2208"/>
      <c r="F191" s="1152"/>
      <c r="G191" s="2234"/>
      <c r="H191" s="1262"/>
      <c r="I191" s="2211"/>
      <c r="J191" s="2211"/>
      <c r="K191" s="2211"/>
      <c r="L191" s="2229"/>
      <c r="M191" s="2202"/>
      <c r="N191" s="2202"/>
      <c r="O191" s="549" t="s">
        <v>94</v>
      </c>
      <c r="P191" s="550">
        <v>43752</v>
      </c>
      <c r="Q191" s="551">
        <f>P191+7</f>
        <v>43759</v>
      </c>
      <c r="R191" s="557">
        <v>43766</v>
      </c>
      <c r="S191" s="557">
        <v>43781</v>
      </c>
      <c r="T191" s="562">
        <v>43802</v>
      </c>
      <c r="U191" s="562">
        <v>43809</v>
      </c>
      <c r="V191" s="623"/>
      <c r="W191" s="562">
        <v>43816</v>
      </c>
      <c r="X191" s="558">
        <v>43825</v>
      </c>
      <c r="Y191" s="559">
        <v>43836</v>
      </c>
      <c r="Z191" s="563"/>
      <c r="AA191" s="559"/>
      <c r="AB191" s="622"/>
      <c r="AC191" s="583">
        <f t="shared" si="9"/>
        <v>0</v>
      </c>
    </row>
    <row r="192" spans="1:46" ht="14.4" customHeight="1" x14ac:dyDescent="0.25">
      <c r="A192" s="2204">
        <v>5</v>
      </c>
      <c r="B192" s="2095" t="s">
        <v>495</v>
      </c>
      <c r="C192" s="2205" t="s">
        <v>474</v>
      </c>
      <c r="D192" s="548"/>
      <c r="E192" s="2206" t="s">
        <v>499</v>
      </c>
      <c r="F192" s="1150"/>
      <c r="G192" s="2232">
        <v>521796.62</v>
      </c>
      <c r="H192" s="1260">
        <f>G192</f>
        <v>521796.62</v>
      </c>
      <c r="I192" s="2209">
        <f>J192</f>
        <v>119047.48391448265</v>
      </c>
      <c r="J192" s="2209">
        <f>K192*0.419622103020793</f>
        <v>119047.48391448265</v>
      </c>
      <c r="K192" s="2209">
        <f>H192/1.83924420604159</f>
        <v>283701.65217103361</v>
      </c>
      <c r="L192" s="2227"/>
      <c r="M192" s="2200" t="s">
        <v>90</v>
      </c>
      <c r="N192" s="2200" t="s">
        <v>91</v>
      </c>
      <c r="O192" s="549" t="s">
        <v>92</v>
      </c>
      <c r="P192" s="550">
        <v>43752</v>
      </c>
      <c r="Q192" s="551">
        <f>P192+7</f>
        <v>43759</v>
      </c>
      <c r="R192" s="552">
        <f>Q192+7</f>
        <v>43766</v>
      </c>
      <c r="S192" s="552">
        <f>R192+15</f>
        <v>43781</v>
      </c>
      <c r="T192" s="552">
        <v>43802</v>
      </c>
      <c r="U192" s="552">
        <f>T192+7</f>
        <v>43809</v>
      </c>
      <c r="V192" s="619"/>
      <c r="W192" s="552">
        <v>43816</v>
      </c>
      <c r="X192" s="553">
        <v>43829</v>
      </c>
      <c r="Y192" s="554">
        <v>43834</v>
      </c>
      <c r="Z192" s="554">
        <v>43954</v>
      </c>
      <c r="AA192" s="554">
        <f>Z192+365</f>
        <v>44319</v>
      </c>
      <c r="AB192" s="620"/>
      <c r="AC192" s="583">
        <f t="shared" si="9"/>
        <v>0</v>
      </c>
    </row>
    <row r="193" spans="1:31" ht="14.4" customHeight="1" x14ac:dyDescent="0.25">
      <c r="A193" s="2204"/>
      <c r="B193" s="2096"/>
      <c r="C193" s="2205"/>
      <c r="D193" s="548">
        <v>70</v>
      </c>
      <c r="E193" s="2207"/>
      <c r="F193" s="1151"/>
      <c r="G193" s="2233"/>
      <c r="H193" s="1261"/>
      <c r="I193" s="2210"/>
      <c r="J193" s="2210"/>
      <c r="K193" s="2210"/>
      <c r="L193" s="2228"/>
      <c r="M193" s="2201"/>
      <c r="N193" s="2201"/>
      <c r="O193" s="549" t="s">
        <v>93</v>
      </c>
      <c r="P193" s="564"/>
      <c r="Q193" s="564"/>
      <c r="R193" s="564"/>
      <c r="S193" s="564"/>
      <c r="T193" s="564"/>
      <c r="U193" s="564"/>
      <c r="V193" s="621">
        <v>1614090.43</v>
      </c>
      <c r="W193" s="564"/>
      <c r="X193" s="565"/>
      <c r="Y193" s="563"/>
      <c r="Z193" s="568">
        <v>44114</v>
      </c>
      <c r="AA193" s="559">
        <f>Z193+365</f>
        <v>44479</v>
      </c>
      <c r="AB193" s="598">
        <v>1092293.81</v>
      </c>
      <c r="AC193" s="583">
        <f t="shared" si="9"/>
        <v>521796.61999999988</v>
      </c>
    </row>
    <row r="194" spans="1:31" ht="14.4" customHeight="1" x14ac:dyDescent="0.25">
      <c r="A194" s="2204"/>
      <c r="B194" s="2097"/>
      <c r="C194" s="2205"/>
      <c r="D194" s="548"/>
      <c r="E194" s="2208"/>
      <c r="F194" s="1152"/>
      <c r="G194" s="2234"/>
      <c r="H194" s="1262"/>
      <c r="I194" s="2211"/>
      <c r="J194" s="2211"/>
      <c r="K194" s="2211"/>
      <c r="L194" s="2229"/>
      <c r="M194" s="2202"/>
      <c r="N194" s="2202"/>
      <c r="O194" s="549" t="s">
        <v>94</v>
      </c>
      <c r="P194" s="550">
        <v>43752</v>
      </c>
      <c r="Q194" s="551">
        <f>P194+7</f>
        <v>43759</v>
      </c>
      <c r="R194" s="557">
        <v>43766</v>
      </c>
      <c r="S194" s="557">
        <v>43781</v>
      </c>
      <c r="T194" s="562">
        <v>43802</v>
      </c>
      <c r="U194" s="562">
        <v>43809</v>
      </c>
      <c r="V194" s="623"/>
      <c r="W194" s="562">
        <v>43816</v>
      </c>
      <c r="X194" s="558">
        <v>43825</v>
      </c>
      <c r="Y194" s="559">
        <v>43836</v>
      </c>
      <c r="Z194" s="563"/>
      <c r="AA194" s="559"/>
      <c r="AB194" s="622"/>
      <c r="AC194" s="583">
        <f t="shared" si="9"/>
        <v>0</v>
      </c>
    </row>
    <row r="195" spans="1:31" ht="14.4" customHeight="1" x14ac:dyDescent="0.25">
      <c r="A195" s="2204">
        <v>6</v>
      </c>
      <c r="B195" s="2095" t="s">
        <v>496</v>
      </c>
      <c r="C195" s="2205" t="s">
        <v>475</v>
      </c>
      <c r="D195" s="548"/>
      <c r="E195" s="2206" t="s">
        <v>500</v>
      </c>
      <c r="F195" s="1150"/>
      <c r="G195" s="2232">
        <v>419452.44</v>
      </c>
      <c r="H195" s="1260">
        <f>G195</f>
        <v>419452.44</v>
      </c>
      <c r="I195" s="2209">
        <f>J195</f>
        <v>95697.740632721034</v>
      </c>
      <c r="J195" s="2209">
        <f>K195*0.419622103020793</f>
        <v>95697.740632721034</v>
      </c>
      <c r="K195" s="2209">
        <f>H195/1.83924420604159</f>
        <v>228056.95873455703</v>
      </c>
      <c r="L195" s="2227"/>
      <c r="M195" s="2200" t="s">
        <v>90</v>
      </c>
      <c r="N195" s="2200" t="s">
        <v>91</v>
      </c>
      <c r="O195" s="549" t="s">
        <v>92</v>
      </c>
      <c r="P195" s="550">
        <v>43752</v>
      </c>
      <c r="Q195" s="551">
        <f>P195+7</f>
        <v>43759</v>
      </c>
      <c r="R195" s="552">
        <f>Q195+7</f>
        <v>43766</v>
      </c>
      <c r="S195" s="552">
        <f>R195+15</f>
        <v>43781</v>
      </c>
      <c r="T195" s="552">
        <v>43802</v>
      </c>
      <c r="U195" s="552">
        <f>T195+7</f>
        <v>43809</v>
      </c>
      <c r="V195" s="619"/>
      <c r="W195" s="552">
        <v>43816</v>
      </c>
      <c r="X195" s="553">
        <v>43829</v>
      </c>
      <c r="Y195" s="554">
        <v>43834</v>
      </c>
      <c r="Z195" s="554">
        <v>43954</v>
      </c>
      <c r="AA195" s="554">
        <f>Z195+365</f>
        <v>44319</v>
      </c>
      <c r="AB195" s="620"/>
      <c r="AC195" s="583">
        <f t="shared" si="9"/>
        <v>0</v>
      </c>
    </row>
    <row r="196" spans="1:31" ht="14.4" customHeight="1" x14ac:dyDescent="0.25">
      <c r="A196" s="2204"/>
      <c r="B196" s="2096"/>
      <c r="C196" s="2205"/>
      <c r="D196" s="548">
        <v>70</v>
      </c>
      <c r="E196" s="2207"/>
      <c r="F196" s="1151"/>
      <c r="G196" s="2233"/>
      <c r="H196" s="1261"/>
      <c r="I196" s="2210"/>
      <c r="J196" s="2210"/>
      <c r="K196" s="2210"/>
      <c r="L196" s="2228"/>
      <c r="M196" s="2201"/>
      <c r="N196" s="2201"/>
      <c r="O196" s="549" t="s">
        <v>93</v>
      </c>
      <c r="P196" s="564"/>
      <c r="Q196" s="564"/>
      <c r="R196" s="564"/>
      <c r="S196" s="564"/>
      <c r="T196" s="564"/>
      <c r="U196" s="564"/>
      <c r="V196" s="621">
        <v>1713255.59</v>
      </c>
      <c r="W196" s="564"/>
      <c r="X196" s="565"/>
      <c r="Y196" s="563"/>
      <c r="Z196" s="568">
        <v>44114</v>
      </c>
      <c r="AA196" s="559">
        <f>Z196+365</f>
        <v>44479</v>
      </c>
      <c r="AB196" s="598">
        <v>1293803.1499999999</v>
      </c>
      <c r="AC196" s="583">
        <f t="shared" si="9"/>
        <v>419452.44000000018</v>
      </c>
    </row>
    <row r="197" spans="1:31" ht="14.4" customHeight="1" x14ac:dyDescent="0.25">
      <c r="A197" s="2204"/>
      <c r="B197" s="2097"/>
      <c r="C197" s="2205"/>
      <c r="D197" s="548"/>
      <c r="E197" s="2208"/>
      <c r="F197" s="1152"/>
      <c r="G197" s="2234"/>
      <c r="H197" s="1262"/>
      <c r="I197" s="2211"/>
      <c r="J197" s="2211"/>
      <c r="K197" s="2211"/>
      <c r="L197" s="2229"/>
      <c r="M197" s="2202"/>
      <c r="N197" s="2202"/>
      <c r="O197" s="549" t="s">
        <v>94</v>
      </c>
      <c r="P197" s="550">
        <v>43752</v>
      </c>
      <c r="Q197" s="551">
        <f>P197+7</f>
        <v>43759</v>
      </c>
      <c r="R197" s="557">
        <v>43766</v>
      </c>
      <c r="S197" s="557">
        <v>43781</v>
      </c>
      <c r="T197" s="562">
        <v>43802</v>
      </c>
      <c r="U197" s="562">
        <v>43809</v>
      </c>
      <c r="V197" s="623"/>
      <c r="W197" s="562">
        <v>43816</v>
      </c>
      <c r="X197" s="558">
        <v>43825</v>
      </c>
      <c r="Y197" s="559">
        <v>43836</v>
      </c>
      <c r="Z197" s="563"/>
      <c r="AA197" s="559"/>
      <c r="AB197" s="622"/>
      <c r="AC197" s="583">
        <f t="shared" si="9"/>
        <v>0</v>
      </c>
    </row>
    <row r="198" spans="1:31" ht="14.4" customHeight="1" x14ac:dyDescent="0.25">
      <c r="A198" s="2204">
        <v>7</v>
      </c>
      <c r="B198" s="2095" t="s">
        <v>144</v>
      </c>
      <c r="C198" s="2205" t="s">
        <v>475</v>
      </c>
      <c r="D198" s="548"/>
      <c r="E198" s="2206" t="s">
        <v>296</v>
      </c>
      <c r="F198" s="1150"/>
      <c r="G198" s="2232">
        <v>475911.75</v>
      </c>
      <c r="H198" s="1260">
        <f>G198</f>
        <v>475911.75</v>
      </c>
      <c r="I198" s="2209">
        <f>J198</f>
        <v>108578.88731214526</v>
      </c>
      <c r="J198" s="2209">
        <f>K198*0.419622103020793</f>
        <v>108578.88731214526</v>
      </c>
      <c r="K198" s="2209">
        <f>H198/1.83924420604159</f>
        <v>258753.97537570845</v>
      </c>
      <c r="L198" s="2227"/>
      <c r="M198" s="2200" t="s">
        <v>90</v>
      </c>
      <c r="N198" s="2200" t="s">
        <v>91</v>
      </c>
      <c r="O198" s="549" t="s">
        <v>92</v>
      </c>
      <c r="P198" s="550">
        <v>43389</v>
      </c>
      <c r="Q198" s="551">
        <f>P198+7</f>
        <v>43396</v>
      </c>
      <c r="R198" s="552">
        <f>Q198+7</f>
        <v>43403</v>
      </c>
      <c r="S198" s="552">
        <f>R198+15</f>
        <v>43418</v>
      </c>
      <c r="T198" s="552">
        <f>S198+14</f>
        <v>43432</v>
      </c>
      <c r="U198" s="552">
        <f>T198+7</f>
        <v>43439</v>
      </c>
      <c r="V198" s="619"/>
      <c r="W198" s="552">
        <f>U198+14</f>
        <v>43453</v>
      </c>
      <c r="X198" s="553">
        <f>W198+14</f>
        <v>43467</v>
      </c>
      <c r="Y198" s="554">
        <f>X198+7</f>
        <v>43474</v>
      </c>
      <c r="Z198" s="554">
        <f>Y198+150</f>
        <v>43624</v>
      </c>
      <c r="AA198" s="554">
        <f>Z198+365</f>
        <v>43989</v>
      </c>
      <c r="AB198" s="620"/>
      <c r="AC198" s="583">
        <f t="shared" si="9"/>
        <v>0</v>
      </c>
    </row>
    <row r="199" spans="1:31" ht="14.4" customHeight="1" x14ac:dyDescent="0.25">
      <c r="A199" s="2204"/>
      <c r="B199" s="2096"/>
      <c r="C199" s="2205"/>
      <c r="D199" s="548">
        <v>35</v>
      </c>
      <c r="E199" s="2207"/>
      <c r="F199" s="1151"/>
      <c r="G199" s="2233"/>
      <c r="H199" s="1261"/>
      <c r="I199" s="2210"/>
      <c r="J199" s="2210"/>
      <c r="K199" s="2210"/>
      <c r="L199" s="2228"/>
      <c r="M199" s="2201"/>
      <c r="N199" s="2201"/>
      <c r="O199" s="549" t="s">
        <v>93</v>
      </c>
      <c r="P199" s="564"/>
      <c r="Q199" s="564"/>
      <c r="R199" s="564"/>
      <c r="S199" s="564"/>
      <c r="T199" s="564"/>
      <c r="U199" s="564"/>
      <c r="V199" s="621">
        <v>3653870</v>
      </c>
      <c r="W199" s="564"/>
      <c r="X199" s="565"/>
      <c r="Y199" s="563"/>
      <c r="Z199" s="568">
        <v>44114</v>
      </c>
      <c r="AA199" s="559">
        <f>Z199+365</f>
        <v>44479</v>
      </c>
      <c r="AB199" s="598">
        <v>3177958.25</v>
      </c>
      <c r="AC199" s="583">
        <f>V199-AB199</f>
        <v>475911.75</v>
      </c>
    </row>
    <row r="200" spans="1:31" ht="14.4" customHeight="1" x14ac:dyDescent="0.25">
      <c r="A200" s="2204"/>
      <c r="B200" s="2097"/>
      <c r="C200" s="2205"/>
      <c r="D200" s="1263"/>
      <c r="E200" s="2208"/>
      <c r="F200" s="1154"/>
      <c r="G200" s="2234"/>
      <c r="H200" s="1338"/>
      <c r="I200" s="2211"/>
      <c r="J200" s="2211"/>
      <c r="K200" s="2211"/>
      <c r="L200" s="2229"/>
      <c r="M200" s="2202"/>
      <c r="N200" s="2202"/>
      <c r="O200" s="573" t="s">
        <v>94</v>
      </c>
      <c r="P200" s="1264">
        <v>43389</v>
      </c>
      <c r="Q200" s="1265">
        <v>43424</v>
      </c>
      <c r="R200" s="1266">
        <v>43531</v>
      </c>
      <c r="S200" s="1266">
        <v>43546</v>
      </c>
      <c r="T200" s="574">
        <v>43551</v>
      </c>
      <c r="U200" s="574">
        <v>43556</v>
      </c>
      <c r="V200" s="621"/>
      <c r="W200" s="574">
        <v>43563</v>
      </c>
      <c r="X200" s="1267">
        <v>43563</v>
      </c>
      <c r="Y200" s="1268">
        <v>43568</v>
      </c>
      <c r="Z200" s="1269"/>
      <c r="AA200" s="1268"/>
      <c r="AB200" s="1270"/>
      <c r="AC200" s="583">
        <f t="shared" si="9"/>
        <v>0</v>
      </c>
    </row>
    <row r="201" spans="1:31" s="1202" customFormat="1" x14ac:dyDescent="0.25">
      <c r="A201" s="1198"/>
      <c r="B201" s="1202" t="s">
        <v>479</v>
      </c>
      <c r="D201" s="1203">
        <f>SUM(D180:D200)</f>
        <v>4200</v>
      </c>
      <c r="G201" s="1199">
        <f>SUM(G180:G200)</f>
        <v>5650939.7400000002</v>
      </c>
      <c r="H201" s="1199">
        <f>SUM(H180:H200)</f>
        <v>5650939.7400000002</v>
      </c>
      <c r="I201" s="1199">
        <f>SUM(I180:I200)</f>
        <v>1289257.4079904172</v>
      </c>
      <c r="J201" s="1199">
        <f>SUM(J180:J200)</f>
        <v>1289257.4079904172</v>
      </c>
      <c r="K201" s="1199">
        <f>SUM(K180:K200)</f>
        <v>3072424.9240191532</v>
      </c>
      <c r="O201" s="1204"/>
      <c r="V201" s="1199">
        <f>SUM(V180:V200)</f>
        <v>15883842.66</v>
      </c>
      <c r="W201" s="1199"/>
      <c r="X201" s="1199"/>
      <c r="Y201" s="1199"/>
      <c r="Z201" s="1199"/>
      <c r="AA201" s="1199"/>
      <c r="AB201" s="1199">
        <f>SUM(AB180:AB200)</f>
        <v>10232902.92</v>
      </c>
      <c r="AC201" s="1199">
        <f>SUM(AC180:AC200)</f>
        <v>5650939.7400000002</v>
      </c>
      <c r="AE201" s="1311"/>
    </row>
    <row r="202" spans="1:31" s="650" customFormat="1" x14ac:dyDescent="0.25">
      <c r="A202" s="1275"/>
      <c r="B202" s="650" t="s">
        <v>480</v>
      </c>
      <c r="D202" s="651"/>
      <c r="G202" s="654"/>
      <c r="H202" s="1279"/>
      <c r="I202" s="654"/>
      <c r="J202" s="654"/>
      <c r="K202" s="654"/>
      <c r="O202" s="653"/>
      <c r="V202" s="1275"/>
      <c r="X202" s="1275"/>
      <c r="Y202" s="1275"/>
      <c r="Z202" s="1275"/>
      <c r="AA202" s="1275"/>
      <c r="AB202" s="654"/>
      <c r="AE202" s="1278"/>
    </row>
    <row r="203" spans="1:31" x14ac:dyDescent="0.25">
      <c r="A203" s="2204">
        <v>1</v>
      </c>
      <c r="B203" s="2099" t="s">
        <v>761</v>
      </c>
      <c r="C203" s="2205" t="s">
        <v>97</v>
      </c>
      <c r="D203" s="2278">
        <v>90</v>
      </c>
      <c r="E203" s="2206" t="s">
        <v>487</v>
      </c>
      <c r="F203" s="1150"/>
      <c r="G203" s="2232">
        <v>428733.89</v>
      </c>
      <c r="H203" s="2279">
        <f>SUM(G203)</f>
        <v>428733.89</v>
      </c>
      <c r="I203" s="2209">
        <f>J203</f>
        <v>97815.296069508026</v>
      </c>
      <c r="J203" s="2209">
        <f>K203*0.419622103020793</f>
        <v>97815.296069508026</v>
      </c>
      <c r="K203" s="2209">
        <f>H203/1.83924420604159</f>
        <v>233103.29786098306</v>
      </c>
      <c r="L203" s="2212"/>
      <c r="M203" s="2200" t="s">
        <v>90</v>
      </c>
      <c r="N203" s="2203" t="s">
        <v>91</v>
      </c>
      <c r="O203" s="549" t="s">
        <v>92</v>
      </c>
      <c r="P203" s="1621">
        <v>43752</v>
      </c>
      <c r="Q203" s="1622">
        <f>P203+7</f>
        <v>43759</v>
      </c>
      <c r="R203" s="1623">
        <v>43916</v>
      </c>
      <c r="S203" s="1623">
        <f>R203+15</f>
        <v>43931</v>
      </c>
      <c r="T203" s="1623">
        <v>43937</v>
      </c>
      <c r="U203" s="1623">
        <f>T203+7</f>
        <v>43944</v>
      </c>
      <c r="V203" s="1624"/>
      <c r="W203" s="1623">
        <v>43950</v>
      </c>
      <c r="X203" s="1625">
        <v>43955</v>
      </c>
      <c r="Y203" s="1626">
        <v>43959</v>
      </c>
      <c r="Z203" s="1626">
        <v>44015</v>
      </c>
      <c r="AA203" s="1626">
        <f>Z203+365</f>
        <v>44380</v>
      </c>
      <c r="AB203" s="2213">
        <v>471176.67</v>
      </c>
    </row>
    <row r="204" spans="1:31" ht="14.4" customHeight="1" x14ac:dyDescent="0.25">
      <c r="A204" s="2204"/>
      <c r="B204" s="2099"/>
      <c r="C204" s="2205"/>
      <c r="D204" s="2278"/>
      <c r="E204" s="2207"/>
      <c r="F204" s="1151"/>
      <c r="G204" s="2233"/>
      <c r="H204" s="2270"/>
      <c r="I204" s="2210"/>
      <c r="J204" s="2210"/>
      <c r="K204" s="2210"/>
      <c r="L204" s="2212"/>
      <c r="M204" s="2201"/>
      <c r="N204" s="2203"/>
      <c r="O204" s="549" t="s">
        <v>93</v>
      </c>
      <c r="P204" s="555"/>
      <c r="Q204" s="556"/>
      <c r="R204" s="555"/>
      <c r="S204" s="555"/>
      <c r="T204" s="555"/>
      <c r="U204" s="556"/>
      <c r="V204" s="621">
        <v>899910.56</v>
      </c>
      <c r="W204" s="557"/>
      <c r="X204" s="558"/>
      <c r="Y204" s="559"/>
      <c r="Z204" s="568">
        <v>44114</v>
      </c>
      <c r="AA204" s="559">
        <f>Z204+365</f>
        <v>44479</v>
      </c>
      <c r="AB204" s="2214"/>
    </row>
    <row r="205" spans="1:31" ht="14.4" customHeight="1" x14ac:dyDescent="0.25">
      <c r="A205" s="2204"/>
      <c r="B205" s="2099"/>
      <c r="C205" s="2205"/>
      <c r="D205" s="2278"/>
      <c r="E205" s="2208"/>
      <c r="F205" s="1152"/>
      <c r="G205" s="2234"/>
      <c r="H205" s="2270"/>
      <c r="I205" s="2211"/>
      <c r="J205" s="2211"/>
      <c r="K205" s="2211"/>
      <c r="L205" s="2212"/>
      <c r="M205" s="2202"/>
      <c r="N205" s="2203"/>
      <c r="O205" s="549" t="s">
        <v>94</v>
      </c>
      <c r="P205" s="1619">
        <v>43752</v>
      </c>
      <c r="Q205" s="1620">
        <f>P205+7</f>
        <v>43759</v>
      </c>
      <c r="R205" s="1179">
        <v>43920</v>
      </c>
      <c r="S205" s="1179">
        <v>43935</v>
      </c>
      <c r="T205" s="1179">
        <v>43938</v>
      </c>
      <c r="U205" s="1179">
        <v>43944</v>
      </c>
      <c r="V205" s="626"/>
      <c r="W205" s="1179">
        <v>43957</v>
      </c>
      <c r="X205" s="1628">
        <v>43958</v>
      </c>
      <c r="Y205" s="1181">
        <v>43959</v>
      </c>
      <c r="Z205" s="563"/>
      <c r="AA205" s="559"/>
      <c r="AB205" s="2215"/>
    </row>
    <row r="206" spans="1:31" s="1183" customFormat="1" x14ac:dyDescent="0.25">
      <c r="A206" s="1312"/>
      <c r="B206" s="1183" t="s">
        <v>481</v>
      </c>
      <c r="D206" s="1313">
        <f>D203</f>
        <v>90</v>
      </c>
      <c r="E206" s="1313" t="s">
        <v>138</v>
      </c>
      <c r="F206" s="1313">
        <f t="shared" ref="F206:K206" si="10">F203</f>
        <v>0</v>
      </c>
      <c r="G206" s="1313">
        <f t="shared" si="10"/>
        <v>428733.89</v>
      </c>
      <c r="H206" s="1313">
        <f t="shared" si="10"/>
        <v>428733.89</v>
      </c>
      <c r="I206" s="1313">
        <f t="shared" si="10"/>
        <v>97815.296069508026</v>
      </c>
      <c r="J206" s="1313">
        <f t="shared" si="10"/>
        <v>97815.296069508026</v>
      </c>
      <c r="K206" s="1313">
        <f t="shared" si="10"/>
        <v>233103.29786098306</v>
      </c>
      <c r="O206" s="1314"/>
      <c r="V206" s="1315">
        <f>SUM(V203:V205)</f>
        <v>899910.56</v>
      </c>
      <c r="W206" s="1315"/>
      <c r="X206" s="1315"/>
      <c r="Y206" s="1315"/>
      <c r="Z206" s="1315"/>
      <c r="AA206" s="1315"/>
      <c r="AB206" s="1315">
        <f>SUM(AB203:AB205)</f>
        <v>471176.67</v>
      </c>
      <c r="AC206" s="1201">
        <f>V206-AB206</f>
        <v>428733.89000000007</v>
      </c>
      <c r="AE206" s="1205"/>
    </row>
    <row r="207" spans="1:31" s="1271" customFormat="1" x14ac:dyDescent="0.25">
      <c r="A207" s="1281"/>
      <c r="B207" s="1271" t="s">
        <v>482</v>
      </c>
      <c r="D207" s="1272"/>
      <c r="G207" s="1273"/>
      <c r="H207" s="1282"/>
      <c r="I207" s="1273"/>
      <c r="J207" s="1273"/>
      <c r="K207" s="1273"/>
      <c r="O207" s="1274"/>
      <c r="V207" s="1281"/>
      <c r="X207" s="1281"/>
      <c r="Y207" s="1281"/>
      <c r="Z207" s="1281"/>
      <c r="AA207" s="1281"/>
      <c r="AB207" s="1273"/>
      <c r="AE207" s="1283"/>
    </row>
    <row r="208" spans="1:31" x14ac:dyDescent="0.25">
      <c r="A208" s="2204">
        <v>1</v>
      </c>
      <c r="B208" s="2099" t="s">
        <v>502</v>
      </c>
      <c r="C208" s="2205" t="s">
        <v>97</v>
      </c>
      <c r="D208" s="1336">
        <v>80</v>
      </c>
      <c r="E208" s="2206" t="s">
        <v>873</v>
      </c>
      <c r="F208" s="1154"/>
      <c r="G208" s="2277">
        <v>1383319.47</v>
      </c>
      <c r="H208" s="1419">
        <f>SUM(G208)</f>
        <v>1383319.47</v>
      </c>
      <c r="I208" s="2209">
        <f>J208</f>
        <v>315603.23704936157</v>
      </c>
      <c r="J208" s="2209">
        <f>K208*0.419622103020793</f>
        <v>315603.23704936157</v>
      </c>
      <c r="K208" s="2209">
        <f>H208/1.83924420604159</f>
        <v>752112.9959012738</v>
      </c>
      <c r="L208" s="2212"/>
      <c r="M208" s="2200" t="s">
        <v>90</v>
      </c>
      <c r="N208" s="2203" t="s">
        <v>91</v>
      </c>
      <c r="O208" s="575" t="s">
        <v>92</v>
      </c>
      <c r="P208" s="576">
        <v>43773</v>
      </c>
      <c r="Q208" s="577">
        <f>P208+7</f>
        <v>43780</v>
      </c>
      <c r="R208" s="578">
        <f>Q208+7</f>
        <v>43787</v>
      </c>
      <c r="S208" s="578">
        <v>43803</v>
      </c>
      <c r="T208" s="578">
        <v>43810</v>
      </c>
      <c r="U208" s="578">
        <f>T208+7</f>
        <v>43817</v>
      </c>
      <c r="V208" s="625"/>
      <c r="W208" s="578">
        <v>43824</v>
      </c>
      <c r="X208" s="579">
        <v>43836</v>
      </c>
      <c r="Y208" s="1280">
        <v>43846</v>
      </c>
      <c r="Z208" s="1280">
        <v>43966</v>
      </c>
      <c r="AA208" s="1280">
        <f>Z208+365</f>
        <v>44331</v>
      </c>
      <c r="AB208" s="2213">
        <v>2513070.7400000002</v>
      </c>
    </row>
    <row r="209" spans="1:31" ht="14.4" customHeight="1" x14ac:dyDescent="0.25">
      <c r="A209" s="2204"/>
      <c r="B209" s="2099"/>
      <c r="C209" s="2205"/>
      <c r="D209" s="1323"/>
      <c r="E209" s="2207"/>
      <c r="F209" s="1151"/>
      <c r="G209" s="2233"/>
      <c r="H209" s="1413"/>
      <c r="I209" s="2210"/>
      <c r="J209" s="2210"/>
      <c r="K209" s="2210"/>
      <c r="L209" s="2212"/>
      <c r="M209" s="2201"/>
      <c r="N209" s="2203"/>
      <c r="O209" s="549" t="s">
        <v>93</v>
      </c>
      <c r="P209" s="564"/>
      <c r="Q209" s="564"/>
      <c r="R209" s="564"/>
      <c r="S209" s="567"/>
      <c r="T209" s="564"/>
      <c r="U209" s="564"/>
      <c r="V209" s="625">
        <v>3896390.21</v>
      </c>
      <c r="W209" s="564"/>
      <c r="X209" s="571"/>
      <c r="Y209" s="572"/>
      <c r="Z209" s="568">
        <v>44114</v>
      </c>
      <c r="AA209" s="568">
        <f>Z209+365</f>
        <v>44479</v>
      </c>
      <c r="AB209" s="2214"/>
      <c r="AC209" s="583">
        <f>V209-AB208</f>
        <v>1383319.4699999997</v>
      </c>
    </row>
    <row r="210" spans="1:31" ht="14.4" customHeight="1" x14ac:dyDescent="0.25">
      <c r="A210" s="2204"/>
      <c r="B210" s="2099"/>
      <c r="C210" s="2205"/>
      <c r="D210" s="1324"/>
      <c r="E210" s="2208"/>
      <c r="F210" s="1152"/>
      <c r="G210" s="2234"/>
      <c r="H210" s="1414"/>
      <c r="I210" s="2211"/>
      <c r="J210" s="2211"/>
      <c r="K210" s="2211"/>
      <c r="L210" s="2212"/>
      <c r="M210" s="2202"/>
      <c r="N210" s="2203"/>
      <c r="O210" s="549" t="s">
        <v>94</v>
      </c>
      <c r="P210" s="576">
        <v>43773</v>
      </c>
      <c r="Q210" s="577">
        <f>P210+7</f>
        <v>43780</v>
      </c>
      <c r="R210" s="552">
        <v>43823</v>
      </c>
      <c r="S210" s="580">
        <v>43845</v>
      </c>
      <c r="T210" s="562">
        <v>43857</v>
      </c>
      <c r="U210" s="562">
        <v>43867</v>
      </c>
      <c r="V210" s="626"/>
      <c r="W210" s="552">
        <v>43878</v>
      </c>
      <c r="X210" s="553">
        <v>43885</v>
      </c>
      <c r="Y210" s="568">
        <v>43956</v>
      </c>
      <c r="Z210" s="568"/>
      <c r="AA210" s="568"/>
      <c r="AB210" s="2215"/>
    </row>
    <row r="211" spans="1:31" x14ac:dyDescent="0.25">
      <c r="A211" s="2204">
        <v>2</v>
      </c>
      <c r="B211" s="2099" t="s">
        <v>503</v>
      </c>
      <c r="C211" s="2205" t="s">
        <v>97</v>
      </c>
      <c r="D211" s="1322">
        <v>250</v>
      </c>
      <c r="E211" s="2206" t="s">
        <v>504</v>
      </c>
      <c r="F211" s="1150"/>
      <c r="G211" s="2232">
        <v>9806360.5</v>
      </c>
      <c r="H211" s="1412">
        <f>SUM(G211)</f>
        <v>9806360.5</v>
      </c>
      <c r="I211" s="2209">
        <f>J211</f>
        <v>2237313.3499472803</v>
      </c>
      <c r="J211" s="2209">
        <f>K211*0.419622103020793</f>
        <v>2237313.3499472803</v>
      </c>
      <c r="K211" s="2209">
        <f>H211/1.83924420604159</f>
        <v>5331733.800105419</v>
      </c>
      <c r="L211" s="2212"/>
      <c r="M211" s="2200" t="s">
        <v>90</v>
      </c>
      <c r="N211" s="2203" t="s">
        <v>91</v>
      </c>
      <c r="O211" s="549" t="s">
        <v>92</v>
      </c>
      <c r="P211" s="576">
        <v>43787</v>
      </c>
      <c r="Q211" s="551">
        <f>P211+7</f>
        <v>43794</v>
      </c>
      <c r="R211" s="552">
        <v>43902</v>
      </c>
      <c r="S211" s="552">
        <v>43923</v>
      </c>
      <c r="T211" s="552">
        <v>43930</v>
      </c>
      <c r="U211" s="552">
        <f>T211+7</f>
        <v>43937</v>
      </c>
      <c r="V211" s="624"/>
      <c r="W211" s="552">
        <v>43944</v>
      </c>
      <c r="X211" s="553">
        <v>43951</v>
      </c>
      <c r="Y211" s="554">
        <v>43955</v>
      </c>
      <c r="Z211" s="554">
        <v>44015</v>
      </c>
      <c r="AA211" s="554">
        <f>Z211+365</f>
        <v>44380</v>
      </c>
      <c r="AB211" s="2213"/>
    </row>
    <row r="212" spans="1:31" s="1183" customFormat="1" ht="14.4" customHeight="1" x14ac:dyDescent="0.25">
      <c r="A212" s="2204"/>
      <c r="B212" s="2099"/>
      <c r="C212" s="2205"/>
      <c r="D212" s="1629"/>
      <c r="E212" s="2207"/>
      <c r="F212" s="1209"/>
      <c r="G212" s="2233"/>
      <c r="H212" s="1629"/>
      <c r="I212" s="2210"/>
      <c r="J212" s="2210"/>
      <c r="K212" s="2210"/>
      <c r="L212" s="2212"/>
      <c r="M212" s="2201"/>
      <c r="N212" s="2203"/>
      <c r="O212" s="1177" t="s">
        <v>93</v>
      </c>
      <c r="P212" s="1190"/>
      <c r="Q212" s="1190"/>
      <c r="R212" s="1190"/>
      <c r="S212" s="1190"/>
      <c r="T212" s="1190"/>
      <c r="U212" s="1190"/>
      <c r="V212" s="1230">
        <v>9806360.5</v>
      </c>
      <c r="W212" s="1190"/>
      <c r="X212" s="1216"/>
      <c r="Y212" s="1630"/>
      <c r="Z212" s="1217">
        <f>Y213+150</f>
        <v>44149</v>
      </c>
      <c r="AA212" s="1217">
        <f>Z212+365</f>
        <v>44514</v>
      </c>
      <c r="AB212" s="2214"/>
      <c r="AE212" s="1205"/>
    </row>
    <row r="213" spans="1:31" ht="14.4" customHeight="1" x14ac:dyDescent="0.25">
      <c r="A213" s="2204"/>
      <c r="B213" s="2099"/>
      <c r="C213" s="2205"/>
      <c r="D213" s="1324"/>
      <c r="E213" s="2208"/>
      <c r="F213" s="1152"/>
      <c r="G213" s="2234"/>
      <c r="H213" s="1414"/>
      <c r="I213" s="2211"/>
      <c r="J213" s="2211"/>
      <c r="K213" s="2211"/>
      <c r="L213" s="2212"/>
      <c r="M213" s="2202"/>
      <c r="N213" s="2203"/>
      <c r="O213" s="549" t="s">
        <v>94</v>
      </c>
      <c r="P213" s="576">
        <v>43787</v>
      </c>
      <c r="Q213" s="551">
        <f>P213+7</f>
        <v>43794</v>
      </c>
      <c r="R213" s="552">
        <v>43902</v>
      </c>
      <c r="S213" s="580">
        <v>43923</v>
      </c>
      <c r="T213" s="562">
        <v>43958</v>
      </c>
      <c r="U213" s="562">
        <v>43959</v>
      </c>
      <c r="V213" s="626"/>
      <c r="W213" s="552">
        <v>43998</v>
      </c>
      <c r="X213" s="553">
        <v>43998</v>
      </c>
      <c r="Y213" s="568">
        <v>43999</v>
      </c>
      <c r="Z213" s="568"/>
      <c r="AA213" s="568"/>
      <c r="AB213" s="2215"/>
    </row>
    <row r="214" spans="1:31" s="1183" customFormat="1" x14ac:dyDescent="0.25">
      <c r="A214" s="1312"/>
      <c r="B214" s="1183" t="s">
        <v>483</v>
      </c>
      <c r="D214" s="1313">
        <f>D208+D211</f>
        <v>330</v>
      </c>
      <c r="E214" s="1313" t="s">
        <v>138</v>
      </c>
      <c r="F214" s="1313">
        <f t="shared" ref="F214:K214" si="11">F208+F211</f>
        <v>0</v>
      </c>
      <c r="G214" s="1313">
        <f t="shared" si="11"/>
        <v>11189679.970000001</v>
      </c>
      <c r="H214" s="1313">
        <f t="shared" si="11"/>
        <v>11189679.970000001</v>
      </c>
      <c r="I214" s="1313">
        <f t="shared" si="11"/>
        <v>2552916.5869966419</v>
      </c>
      <c r="J214" s="1313">
        <f t="shared" si="11"/>
        <v>2552916.5869966419</v>
      </c>
      <c r="K214" s="1313">
        <f t="shared" si="11"/>
        <v>6083846.7960066926</v>
      </c>
      <c r="O214" s="1314"/>
      <c r="V214" s="1315">
        <f>SUM(V208:V213)</f>
        <v>13702750.710000001</v>
      </c>
      <c r="W214" s="1315"/>
      <c r="X214" s="1315"/>
      <c r="Y214" s="1315"/>
      <c r="Z214" s="1315"/>
      <c r="AA214" s="1315"/>
      <c r="AB214" s="1315">
        <f>SUM(AB208:AB213)</f>
        <v>2513070.7400000002</v>
      </c>
      <c r="AE214" s="1205"/>
    </row>
    <row r="215" spans="1:31" s="650" customFormat="1" x14ac:dyDescent="0.25">
      <c r="A215" s="1284"/>
      <c r="B215" s="1285" t="s">
        <v>484</v>
      </c>
      <c r="C215" s="1286"/>
      <c r="D215" s="1287"/>
      <c r="E215" s="1285"/>
      <c r="F215" s="1285"/>
      <c r="G215" s="1288"/>
      <c r="H215" s="1288"/>
      <c r="I215" s="1288"/>
      <c r="J215" s="1288"/>
      <c r="K215" s="1288"/>
      <c r="L215" s="1286"/>
      <c r="M215" s="1286"/>
      <c r="N215" s="1286"/>
      <c r="O215" s="1289"/>
      <c r="P215" s="1290"/>
      <c r="Q215" s="1291"/>
      <c r="R215" s="1292"/>
      <c r="S215" s="1292"/>
      <c r="T215" s="1292"/>
      <c r="U215" s="1292"/>
      <c r="V215" s="1293"/>
      <c r="W215" s="1292"/>
      <c r="X215" s="1294"/>
      <c r="Y215" s="1295"/>
      <c r="Z215" s="1295"/>
      <c r="AA215" s="1295"/>
      <c r="AB215" s="1273"/>
      <c r="AE215" s="1278"/>
    </row>
    <row r="216" spans="1:31" x14ac:dyDescent="0.25">
      <c r="A216" s="2204">
        <v>1</v>
      </c>
      <c r="B216" s="2099" t="s">
        <v>505</v>
      </c>
      <c r="C216" s="2205" t="s">
        <v>517</v>
      </c>
      <c r="D216" s="2278">
        <v>0.05</v>
      </c>
      <c r="E216" s="2206" t="s">
        <v>874</v>
      </c>
      <c r="F216" s="1153"/>
      <c r="G216" s="2232">
        <v>630392.94999999995</v>
      </c>
      <c r="H216" s="2270">
        <f>G216</f>
        <v>630392.94999999995</v>
      </c>
      <c r="I216" s="2209">
        <f>J216</f>
        <v>143823.65024696453</v>
      </c>
      <c r="J216" s="2209">
        <f>K216*0.419622103020793</f>
        <v>143823.65024696453</v>
      </c>
      <c r="K216" s="2209">
        <f>H216/1.83924420604159</f>
        <v>342745.64950606955</v>
      </c>
      <c r="L216" s="2212"/>
      <c r="M216" s="2200" t="s">
        <v>90</v>
      </c>
      <c r="N216" s="2203" t="s">
        <v>91</v>
      </c>
      <c r="O216" s="549" t="s">
        <v>92</v>
      </c>
      <c r="P216" s="576">
        <v>43773</v>
      </c>
      <c r="Q216" s="551">
        <f>P216+7</f>
        <v>43780</v>
      </c>
      <c r="R216" s="552">
        <f>Q216+7</f>
        <v>43787</v>
      </c>
      <c r="S216" s="552">
        <v>43803</v>
      </c>
      <c r="T216" s="552">
        <v>43810</v>
      </c>
      <c r="U216" s="552">
        <f>T216+7</f>
        <v>43817</v>
      </c>
      <c r="V216" s="2280">
        <v>1374076.87</v>
      </c>
      <c r="W216" s="552">
        <v>43824</v>
      </c>
      <c r="X216" s="553">
        <v>43836</v>
      </c>
      <c r="Y216" s="554">
        <v>43846</v>
      </c>
      <c r="Z216" s="554">
        <v>43966</v>
      </c>
      <c r="AA216" s="554">
        <f>Z216+365</f>
        <v>44331</v>
      </c>
      <c r="AB216" s="2213">
        <v>743683.92</v>
      </c>
    </row>
    <row r="217" spans="1:31" ht="14.4" customHeight="1" x14ac:dyDescent="0.25">
      <c r="A217" s="2204"/>
      <c r="B217" s="2099"/>
      <c r="C217" s="2205"/>
      <c r="D217" s="2278"/>
      <c r="E217" s="2207"/>
      <c r="F217" s="1154"/>
      <c r="G217" s="2233"/>
      <c r="H217" s="2270"/>
      <c r="I217" s="2210"/>
      <c r="J217" s="2210"/>
      <c r="K217" s="2210"/>
      <c r="L217" s="2212"/>
      <c r="M217" s="2201"/>
      <c r="N217" s="2203"/>
      <c r="O217" s="549" t="s">
        <v>93</v>
      </c>
      <c r="P217" s="564"/>
      <c r="Q217" s="564"/>
      <c r="R217" s="564"/>
      <c r="S217" s="564"/>
      <c r="T217" s="564"/>
      <c r="U217" s="564"/>
      <c r="V217" s="2281"/>
      <c r="W217" s="564"/>
      <c r="X217" s="571"/>
      <c r="Y217" s="572"/>
      <c r="Z217" s="568">
        <v>44114</v>
      </c>
      <c r="AA217" s="568">
        <f>Z217+365</f>
        <v>44479</v>
      </c>
      <c r="AB217" s="2214"/>
    </row>
    <row r="218" spans="1:31" ht="14.4" customHeight="1" x14ac:dyDescent="0.25">
      <c r="A218" s="2204"/>
      <c r="B218" s="2099"/>
      <c r="C218" s="2205"/>
      <c r="D218" s="2278"/>
      <c r="E218" s="2208"/>
      <c r="F218" s="1155"/>
      <c r="G218" s="2234"/>
      <c r="H218" s="2270"/>
      <c r="I218" s="2211"/>
      <c r="J218" s="2211"/>
      <c r="K218" s="2211"/>
      <c r="L218" s="2212"/>
      <c r="M218" s="2202"/>
      <c r="N218" s="2203"/>
      <c r="O218" s="549" t="s">
        <v>94</v>
      </c>
      <c r="P218" s="576">
        <v>43773</v>
      </c>
      <c r="Q218" s="551">
        <f>P218+7</f>
        <v>43780</v>
      </c>
      <c r="R218" s="552">
        <v>43858</v>
      </c>
      <c r="S218" s="580">
        <v>43873</v>
      </c>
      <c r="T218" s="562">
        <v>43882</v>
      </c>
      <c r="U218" s="562">
        <v>43893</v>
      </c>
      <c r="V218" s="2282"/>
      <c r="W218" s="552">
        <v>43901</v>
      </c>
      <c r="X218" s="553">
        <v>43907</v>
      </c>
      <c r="Y218" s="568">
        <v>43910</v>
      </c>
      <c r="Z218" s="568"/>
      <c r="AA218" s="568"/>
      <c r="AB218" s="2215"/>
    </row>
    <row r="219" spans="1:31" s="1183" customFormat="1" x14ac:dyDescent="0.25">
      <c r="A219" s="1190"/>
      <c r="B219" s="1190" t="s">
        <v>485</v>
      </c>
      <c r="C219" s="1190"/>
      <c r="D219" s="1194">
        <f>D216</f>
        <v>0.05</v>
      </c>
      <c r="E219" s="1194" t="s">
        <v>138</v>
      </c>
      <c r="F219" s="1194">
        <f t="shared" ref="F219:K219" si="12">F216</f>
        <v>0</v>
      </c>
      <c r="G219" s="1194">
        <f t="shared" si="12"/>
        <v>630392.94999999995</v>
      </c>
      <c r="H219" s="1194">
        <f t="shared" si="12"/>
        <v>630392.94999999995</v>
      </c>
      <c r="I219" s="1194">
        <f t="shared" si="12"/>
        <v>143823.65024696453</v>
      </c>
      <c r="J219" s="1194">
        <f t="shared" si="12"/>
        <v>143823.65024696453</v>
      </c>
      <c r="K219" s="1194">
        <f t="shared" si="12"/>
        <v>342745.64950606955</v>
      </c>
      <c r="L219" s="1190"/>
      <c r="M219" s="1190"/>
      <c r="N219" s="1190"/>
      <c r="O219" s="1190"/>
      <c r="P219" s="1190"/>
      <c r="Q219" s="1190"/>
      <c r="R219" s="1190"/>
      <c r="S219" s="1190"/>
      <c r="T219" s="1190"/>
      <c r="U219" s="1190"/>
      <c r="V219" s="1215">
        <f>V216</f>
        <v>1374076.87</v>
      </c>
      <c r="W219" s="1190"/>
      <c r="X219" s="1316"/>
      <c r="Y219" s="1202"/>
      <c r="Z219" s="1202"/>
      <c r="AA219" s="1202"/>
      <c r="AB219" s="1199">
        <f>AB216</f>
        <v>743683.92</v>
      </c>
      <c r="AC219" s="1201">
        <f>V219-AB219</f>
        <v>630392.95000000007</v>
      </c>
      <c r="AE219" s="1205"/>
    </row>
    <row r="220" spans="1:31" s="650" customFormat="1" x14ac:dyDescent="0.25">
      <c r="A220" s="1329"/>
      <c r="B220" s="1286" t="s">
        <v>776</v>
      </c>
      <c r="C220" s="1286"/>
      <c r="D220" s="1330"/>
      <c r="E220" s="1331"/>
      <c r="F220" s="1331"/>
      <c r="G220" s="1331"/>
      <c r="H220" s="1330"/>
      <c r="I220" s="1331"/>
      <c r="J220" s="1331"/>
      <c r="K220" s="1331"/>
      <c r="L220" s="1286"/>
      <c r="M220" s="1285"/>
      <c r="N220" s="1286"/>
      <c r="O220" s="1286"/>
      <c r="P220" s="1332"/>
      <c r="Q220" s="1286"/>
      <c r="R220" s="1286"/>
      <c r="S220" s="1286"/>
      <c r="T220" s="1286"/>
      <c r="U220" s="1286"/>
      <c r="V220" s="1333"/>
      <c r="W220" s="1286"/>
      <c r="X220" s="1334"/>
      <c r="Y220" s="1271"/>
      <c r="Z220" s="1271"/>
      <c r="AA220" s="1271"/>
      <c r="AB220" s="1328"/>
      <c r="AC220" s="1335"/>
      <c r="AE220" s="1278"/>
    </row>
    <row r="221" spans="1:31" x14ac:dyDescent="0.25">
      <c r="A221" s="2204">
        <v>1</v>
      </c>
      <c r="B221" s="2099" t="s">
        <v>508</v>
      </c>
      <c r="C221" s="2205" t="s">
        <v>517</v>
      </c>
      <c r="D221" s="2278">
        <v>0.1</v>
      </c>
      <c r="E221" s="2206" t="s">
        <v>875</v>
      </c>
      <c r="F221" s="1150"/>
      <c r="G221" s="1321">
        <v>1318048.29</v>
      </c>
      <c r="H221" s="2270">
        <f>G221</f>
        <v>1318048.29</v>
      </c>
      <c r="I221" s="2209">
        <f>J221</f>
        <v>300711.66923673515</v>
      </c>
      <c r="J221" s="2209">
        <f>K221*0.419622103020793</f>
        <v>300711.66923673515</v>
      </c>
      <c r="K221" s="2209">
        <f>H221/1.83924420604159</f>
        <v>716624.95152652706</v>
      </c>
      <c r="L221" s="2212"/>
      <c r="M221" s="2200" t="s">
        <v>90</v>
      </c>
      <c r="N221" s="2203" t="s">
        <v>91</v>
      </c>
      <c r="O221" s="549" t="s">
        <v>92</v>
      </c>
      <c r="P221" s="576">
        <v>43773</v>
      </c>
      <c r="Q221" s="551">
        <f>P221+7</f>
        <v>43780</v>
      </c>
      <c r="R221" s="552">
        <f>Q221+7</f>
        <v>43787</v>
      </c>
      <c r="S221" s="552">
        <v>43803</v>
      </c>
      <c r="T221" s="552">
        <v>43810</v>
      </c>
      <c r="U221" s="552">
        <f>T221+7</f>
        <v>43817</v>
      </c>
      <c r="V221" s="2280">
        <v>3378865.36</v>
      </c>
      <c r="W221" s="552">
        <v>43824</v>
      </c>
      <c r="X221" s="553">
        <v>43836</v>
      </c>
      <c r="Y221" s="554">
        <v>43846</v>
      </c>
      <c r="Z221" s="554">
        <v>43966</v>
      </c>
      <c r="AA221" s="554">
        <f>Z221+365</f>
        <v>44331</v>
      </c>
      <c r="AB221" s="2213">
        <v>2060817.07</v>
      </c>
    </row>
    <row r="222" spans="1:31" ht="14.4" customHeight="1" x14ac:dyDescent="0.25">
      <c r="A222" s="2204"/>
      <c r="B222" s="2099"/>
      <c r="C222" s="2205"/>
      <c r="D222" s="2278"/>
      <c r="E222" s="2207"/>
      <c r="F222" s="1151"/>
      <c r="G222" s="1326"/>
      <c r="H222" s="2270"/>
      <c r="I222" s="2210"/>
      <c r="J222" s="2210"/>
      <c r="K222" s="2210"/>
      <c r="L222" s="2212"/>
      <c r="M222" s="2201"/>
      <c r="N222" s="2203"/>
      <c r="O222" s="549" t="s">
        <v>93</v>
      </c>
      <c r="P222" s="564"/>
      <c r="Q222" s="564"/>
      <c r="R222" s="564"/>
      <c r="S222" s="564"/>
      <c r="T222" s="564"/>
      <c r="U222" s="564"/>
      <c r="V222" s="2281"/>
      <c r="W222" s="564"/>
      <c r="X222" s="571"/>
      <c r="Y222" s="572"/>
      <c r="Z222" s="568">
        <v>44114</v>
      </c>
      <c r="AA222" s="568">
        <f>Z222+365</f>
        <v>44479</v>
      </c>
      <c r="AB222" s="2214"/>
    </row>
    <row r="223" spans="1:31" ht="14.4" customHeight="1" x14ac:dyDescent="0.25">
      <c r="A223" s="2204"/>
      <c r="B223" s="2099"/>
      <c r="C223" s="2205"/>
      <c r="D223" s="2278"/>
      <c r="E223" s="2208"/>
      <c r="F223" s="1152"/>
      <c r="G223" s="1327"/>
      <c r="H223" s="2270"/>
      <c r="I223" s="2211"/>
      <c r="J223" s="2211"/>
      <c r="K223" s="2211"/>
      <c r="L223" s="2212"/>
      <c r="M223" s="2202"/>
      <c r="N223" s="2203"/>
      <c r="O223" s="549" t="s">
        <v>94</v>
      </c>
      <c r="P223" s="576">
        <v>43773</v>
      </c>
      <c r="Q223" s="551">
        <f>P223+7</f>
        <v>43780</v>
      </c>
      <c r="R223" s="552">
        <v>43858</v>
      </c>
      <c r="S223" s="580">
        <v>43873</v>
      </c>
      <c r="T223" s="562">
        <v>43882</v>
      </c>
      <c r="U223" s="562">
        <v>43893</v>
      </c>
      <c r="V223" s="2282"/>
      <c r="W223" s="552">
        <v>43901</v>
      </c>
      <c r="X223" s="553">
        <v>43907</v>
      </c>
      <c r="Y223" s="568">
        <v>43910</v>
      </c>
      <c r="Z223" s="568"/>
      <c r="AA223" s="568"/>
      <c r="AB223" s="2215"/>
    </row>
    <row r="224" spans="1:31" s="1183" customFormat="1" x14ac:dyDescent="0.25">
      <c r="A224" s="1190"/>
      <c r="B224" s="1190" t="s">
        <v>777</v>
      </c>
      <c r="C224" s="1190"/>
      <c r="D224" s="1194">
        <f>D221</f>
        <v>0.1</v>
      </c>
      <c r="E224" s="1194" t="s">
        <v>138</v>
      </c>
      <c r="F224" s="1194">
        <f t="shared" ref="F224:K224" si="13">F221</f>
        <v>0</v>
      </c>
      <c r="G224" s="1194">
        <f t="shared" si="13"/>
        <v>1318048.29</v>
      </c>
      <c r="H224" s="1194">
        <f t="shared" si="13"/>
        <v>1318048.29</v>
      </c>
      <c r="I224" s="1194">
        <f t="shared" si="13"/>
        <v>300711.66923673515</v>
      </c>
      <c r="J224" s="1194">
        <f t="shared" si="13"/>
        <v>300711.66923673515</v>
      </c>
      <c r="K224" s="1194">
        <f t="shared" si="13"/>
        <v>716624.95152652706</v>
      </c>
      <c r="L224" s="1190"/>
      <c r="M224" s="1190"/>
      <c r="N224" s="1190"/>
      <c r="O224" s="1190"/>
      <c r="P224" s="1190"/>
      <c r="Q224" s="1190"/>
      <c r="R224" s="1190"/>
      <c r="S224" s="1190"/>
      <c r="T224" s="1190"/>
      <c r="U224" s="1190"/>
      <c r="V224" s="1215">
        <f>V221</f>
        <v>3378865.36</v>
      </c>
      <c r="W224" s="1190"/>
      <c r="X224" s="1316"/>
      <c r="Y224" s="1202"/>
      <c r="Z224" s="1202"/>
      <c r="AA224" s="1202"/>
      <c r="AB224" s="1199">
        <f>AB221</f>
        <v>2060817.07</v>
      </c>
      <c r="AC224" s="1201">
        <f>V224-AB224</f>
        <v>1318048.2899999998</v>
      </c>
      <c r="AE224" s="1205"/>
    </row>
    <row r="225" spans="1:31" s="650" customFormat="1" ht="14.4" x14ac:dyDescent="0.25">
      <c r="A225" s="1296"/>
      <c r="B225" s="1297" t="s">
        <v>486</v>
      </c>
      <c r="C225" s="1298"/>
      <c r="D225" s="1298"/>
      <c r="E225" s="1299"/>
      <c r="F225" s="1299"/>
      <c r="G225" s="1300"/>
      <c r="H225" s="1301"/>
      <c r="I225" s="1301"/>
      <c r="J225" s="1300"/>
      <c r="K225" s="1300"/>
      <c r="L225" s="1298"/>
      <c r="M225" s="1298"/>
      <c r="N225" s="1298"/>
      <c r="O225" s="1289"/>
      <c r="P225" s="1302"/>
      <c r="Q225" s="1303"/>
      <c r="R225" s="1292"/>
      <c r="S225" s="1303"/>
      <c r="T225" s="1304"/>
      <c r="U225" s="1304"/>
      <c r="V225" s="1305"/>
      <c r="W225" s="1302"/>
      <c r="X225" s="1306"/>
      <c r="Y225" s="1307"/>
      <c r="Z225" s="1281"/>
      <c r="AA225" s="1281"/>
      <c r="AB225" s="1273"/>
      <c r="AE225" s="1278"/>
    </row>
    <row r="226" spans="1:31" x14ac:dyDescent="0.25">
      <c r="A226" s="2260">
        <v>1</v>
      </c>
      <c r="B226" s="2098" t="s">
        <v>764</v>
      </c>
      <c r="C226" s="2205" t="s">
        <v>10</v>
      </c>
      <c r="D226" s="2261">
        <v>18000</v>
      </c>
      <c r="E226" s="2206" t="s">
        <v>507</v>
      </c>
      <c r="F226" s="1150"/>
      <c r="G226" s="1260">
        <v>3498963.64</v>
      </c>
      <c r="H226" s="2263">
        <f>G226</f>
        <v>3498963.64</v>
      </c>
      <c r="I226" s="2209">
        <f>J226</f>
        <v>798285.77205091831</v>
      </c>
      <c r="J226" s="2209">
        <f>K226*0.419622103020793</f>
        <v>798285.77205091831</v>
      </c>
      <c r="K226" s="2209">
        <f>H226/1.83924420604159</f>
        <v>1902392.0958981561</v>
      </c>
      <c r="L226" s="2205"/>
      <c r="M226" s="2206" t="s">
        <v>90</v>
      </c>
      <c r="N226" s="2205" t="s">
        <v>91</v>
      </c>
      <c r="O226" s="549" t="s">
        <v>92</v>
      </c>
      <c r="P226" s="576">
        <v>43773</v>
      </c>
      <c r="Q226" s="551">
        <f>P226+7</f>
        <v>43780</v>
      </c>
      <c r="R226" s="552">
        <v>43906</v>
      </c>
      <c r="S226" s="552">
        <v>43921</v>
      </c>
      <c r="T226" s="552">
        <v>43928</v>
      </c>
      <c r="U226" s="552">
        <v>43936</v>
      </c>
      <c r="V226" s="2286">
        <v>3498963.64</v>
      </c>
      <c r="W226" s="552">
        <v>43948</v>
      </c>
      <c r="X226" s="553">
        <v>43955</v>
      </c>
      <c r="Y226" s="554">
        <v>43959</v>
      </c>
      <c r="Z226" s="554">
        <v>44049</v>
      </c>
      <c r="AA226" s="554">
        <f>Z226+365</f>
        <v>44414</v>
      </c>
      <c r="AB226" s="2291"/>
    </row>
    <row r="227" spans="1:31" x14ac:dyDescent="0.25">
      <c r="A227" s="2260"/>
      <c r="B227" s="2098"/>
      <c r="C227" s="2205"/>
      <c r="D227" s="2205"/>
      <c r="E227" s="2207"/>
      <c r="F227" s="1151"/>
      <c r="G227" s="1261"/>
      <c r="H227" s="2263"/>
      <c r="I227" s="2210"/>
      <c r="J227" s="2210"/>
      <c r="K227" s="2210"/>
      <c r="L227" s="2205"/>
      <c r="M227" s="2207"/>
      <c r="N227" s="2205"/>
      <c r="O227" s="549" t="s">
        <v>93</v>
      </c>
      <c r="P227" s="576"/>
      <c r="Q227" s="551"/>
      <c r="V227" s="2287"/>
      <c r="Z227" s="568">
        <v>44114</v>
      </c>
      <c r="AA227" s="568">
        <f>Z227+365</f>
        <v>44479</v>
      </c>
      <c r="AB227" s="2292"/>
    </row>
    <row r="228" spans="1:31" x14ac:dyDescent="0.25">
      <c r="A228" s="2260"/>
      <c r="B228" s="2098"/>
      <c r="C228" s="2205"/>
      <c r="D228" s="2205"/>
      <c r="E228" s="2208"/>
      <c r="F228" s="1152"/>
      <c r="G228" s="1262"/>
      <c r="H228" s="2263"/>
      <c r="I228" s="2211"/>
      <c r="J228" s="2211"/>
      <c r="K228" s="2211"/>
      <c r="L228" s="2205"/>
      <c r="M228" s="2208"/>
      <c r="N228" s="2205"/>
      <c r="O228" s="549" t="s">
        <v>94</v>
      </c>
      <c r="P228" s="576">
        <v>43773</v>
      </c>
      <c r="Q228" s="551">
        <f>P228+7</f>
        <v>43780</v>
      </c>
      <c r="R228" s="584">
        <v>43913</v>
      </c>
      <c r="S228" s="584">
        <v>43928</v>
      </c>
      <c r="T228" s="584">
        <v>43936</v>
      </c>
      <c r="U228" s="584">
        <v>43945</v>
      </c>
      <c r="V228" s="2288"/>
      <c r="W228" s="584">
        <v>43958</v>
      </c>
      <c r="X228" s="571">
        <v>43970</v>
      </c>
      <c r="Y228" s="572">
        <v>43978</v>
      </c>
      <c r="Z228" s="563"/>
      <c r="AA228" s="563"/>
      <c r="AB228" s="2293"/>
    </row>
    <row r="229" spans="1:31" ht="13.8" customHeight="1" x14ac:dyDescent="0.25">
      <c r="A229" s="2260">
        <v>2</v>
      </c>
      <c r="B229" s="2098" t="s">
        <v>763</v>
      </c>
      <c r="C229" s="2205" t="s">
        <v>475</v>
      </c>
      <c r="D229" s="2261">
        <v>4000</v>
      </c>
      <c r="E229" s="2206" t="s">
        <v>876</v>
      </c>
      <c r="F229" s="1150"/>
      <c r="G229" s="1260">
        <v>726094.65</v>
      </c>
      <c r="H229" s="2263">
        <f>G229</f>
        <v>726094.65</v>
      </c>
      <c r="I229" s="2209">
        <f>J229</f>
        <v>165657.91699890065</v>
      </c>
      <c r="J229" s="2209">
        <f>K229*0.419622103020793</f>
        <v>165657.91699890065</v>
      </c>
      <c r="K229" s="2209">
        <f>H229/1.83924420604159</f>
        <v>394778.81600219716</v>
      </c>
      <c r="L229" s="2205"/>
      <c r="M229" s="2206" t="s">
        <v>90</v>
      </c>
      <c r="N229" s="2205" t="s">
        <v>91</v>
      </c>
      <c r="O229" s="575" t="s">
        <v>92</v>
      </c>
      <c r="P229" s="576">
        <v>43773</v>
      </c>
      <c r="Q229" s="551">
        <f>P229+7</f>
        <v>43780</v>
      </c>
      <c r="R229" s="552">
        <v>43906</v>
      </c>
      <c r="S229" s="552">
        <v>43921</v>
      </c>
      <c r="T229" s="552">
        <v>43928</v>
      </c>
      <c r="U229" s="552">
        <v>43936</v>
      </c>
      <c r="V229" s="2286">
        <v>1299999.79</v>
      </c>
      <c r="W229" s="552">
        <v>43948</v>
      </c>
      <c r="X229" s="553">
        <v>43955</v>
      </c>
      <c r="Y229" s="554">
        <v>43959</v>
      </c>
      <c r="Z229" s="554">
        <v>44049</v>
      </c>
      <c r="AA229" s="554">
        <f>Z229+365</f>
        <v>44414</v>
      </c>
      <c r="AB229" s="2289">
        <v>573905.14</v>
      </c>
    </row>
    <row r="230" spans="1:31" ht="13.8" customHeight="1" x14ac:dyDescent="0.25">
      <c r="A230" s="2260"/>
      <c r="B230" s="2098"/>
      <c r="C230" s="2205"/>
      <c r="D230" s="2205"/>
      <c r="E230" s="2207"/>
      <c r="F230" s="1151"/>
      <c r="G230" s="1261"/>
      <c r="H230" s="2263"/>
      <c r="I230" s="2210"/>
      <c r="J230" s="2210"/>
      <c r="K230" s="2210"/>
      <c r="L230" s="2205"/>
      <c r="M230" s="2207"/>
      <c r="N230" s="2205"/>
      <c r="O230" s="549" t="s">
        <v>93</v>
      </c>
      <c r="P230" s="576"/>
      <c r="Q230" s="551"/>
      <c r="V230" s="2287"/>
      <c r="Z230" s="568">
        <v>44114</v>
      </c>
      <c r="AA230" s="568">
        <f>Z230+365</f>
        <v>44479</v>
      </c>
      <c r="AB230" s="2290"/>
    </row>
    <row r="231" spans="1:31" ht="13.8" customHeight="1" x14ac:dyDescent="0.25">
      <c r="A231" s="2260"/>
      <c r="B231" s="2098"/>
      <c r="C231" s="2205"/>
      <c r="D231" s="2205"/>
      <c r="E231" s="2208"/>
      <c r="F231" s="1152"/>
      <c r="G231" s="1262"/>
      <c r="H231" s="2263"/>
      <c r="I231" s="2211"/>
      <c r="J231" s="2211"/>
      <c r="K231" s="2211"/>
      <c r="L231" s="2205"/>
      <c r="M231" s="2208"/>
      <c r="N231" s="2205"/>
      <c r="O231" s="573" t="s">
        <v>94</v>
      </c>
      <c r="P231" s="576">
        <v>43773</v>
      </c>
      <c r="Q231" s="551">
        <f>P231+7</f>
        <v>43780</v>
      </c>
      <c r="R231" s="584">
        <v>43913</v>
      </c>
      <c r="S231" s="584">
        <v>43928</v>
      </c>
      <c r="T231" s="584">
        <v>43936</v>
      </c>
      <c r="U231" s="584">
        <v>43945</v>
      </c>
      <c r="V231" s="2288"/>
      <c r="W231" s="584">
        <v>43958</v>
      </c>
      <c r="X231" s="571">
        <v>43968</v>
      </c>
      <c r="Y231" s="572">
        <v>43969</v>
      </c>
      <c r="Z231" s="563"/>
      <c r="AA231" s="563"/>
      <c r="AB231" s="2290"/>
    </row>
    <row r="232" spans="1:31" s="1183" customFormat="1" x14ac:dyDescent="0.25">
      <c r="A232" s="1194"/>
      <c r="B232" s="1194" t="s">
        <v>488</v>
      </c>
      <c r="C232" s="1194"/>
      <c r="D232" s="1194">
        <f>D226+D229</f>
        <v>22000</v>
      </c>
      <c r="E232" s="1194" t="s">
        <v>138</v>
      </c>
      <c r="F232" s="1194">
        <f t="shared" ref="F232:K232" si="14">F226+F229</f>
        <v>0</v>
      </c>
      <c r="G232" s="1194">
        <f t="shared" si="14"/>
        <v>4225058.29</v>
      </c>
      <c r="H232" s="1194">
        <f t="shared" si="14"/>
        <v>4225058.29</v>
      </c>
      <c r="I232" s="1194">
        <f t="shared" si="14"/>
        <v>963943.68904981902</v>
      </c>
      <c r="J232" s="1194">
        <f t="shared" si="14"/>
        <v>963943.68904981902</v>
      </c>
      <c r="K232" s="1194">
        <f t="shared" si="14"/>
        <v>2297170.9119003532</v>
      </c>
      <c r="L232" s="1194"/>
      <c r="M232" s="1194"/>
      <c r="N232" s="1194"/>
      <c r="O232" s="1194"/>
      <c r="P232" s="1194"/>
      <c r="Q232" s="1194"/>
      <c r="R232" s="1194"/>
      <c r="S232" s="1194"/>
      <c r="T232" s="1194"/>
      <c r="U232" s="1194"/>
      <c r="V232" s="1317">
        <f>SUM(V226:V231)</f>
        <v>4798963.43</v>
      </c>
      <c r="W232" s="1317"/>
      <c r="X232" s="1317"/>
      <c r="Y232" s="1317"/>
      <c r="Z232" s="1317"/>
      <c r="AA232" s="1317"/>
      <c r="AB232" s="1317">
        <f>SUM(AB226:AB231)</f>
        <v>573905.14</v>
      </c>
      <c r="AC232" s="1201">
        <f>V232-AB232</f>
        <v>4225058.29</v>
      </c>
      <c r="AE232" s="1205"/>
    </row>
    <row r="233" spans="1:31" s="650" customFormat="1" x14ac:dyDescent="0.25">
      <c r="A233" s="1284"/>
      <c r="B233" s="1308" t="s">
        <v>765</v>
      </c>
      <c r="C233" s="1286"/>
      <c r="D233" s="1287"/>
      <c r="E233" s="1286"/>
      <c r="F233" s="1286"/>
      <c r="G233" s="1288"/>
      <c r="H233" s="1288"/>
      <c r="I233" s="1288"/>
      <c r="J233" s="1288"/>
      <c r="K233" s="1288"/>
      <c r="L233" s="1286"/>
      <c r="M233" s="1286"/>
      <c r="N233" s="1286"/>
      <c r="O233" s="1309"/>
      <c r="P233" s="1286"/>
      <c r="Q233" s="1286"/>
      <c r="R233" s="1286"/>
      <c r="S233" s="1286"/>
      <c r="T233" s="1286"/>
      <c r="U233" s="1286"/>
      <c r="V233" s="1305"/>
      <c r="W233" s="1286"/>
      <c r="X233" s="1310"/>
      <c r="Y233" s="1281"/>
      <c r="Z233" s="1281"/>
      <c r="AA233" s="1281"/>
      <c r="AB233" s="1273"/>
      <c r="AE233" s="1278"/>
    </row>
    <row r="234" spans="1:31" ht="13.8" customHeight="1" x14ac:dyDescent="0.25">
      <c r="A234" s="2283">
        <v>1</v>
      </c>
      <c r="B234" s="2082" t="s">
        <v>766</v>
      </c>
      <c r="C234" s="2206" t="s">
        <v>3</v>
      </c>
      <c r="D234" s="2271">
        <v>1</v>
      </c>
      <c r="E234" s="2206" t="s">
        <v>509</v>
      </c>
      <c r="F234" s="1153"/>
      <c r="G234" s="1260">
        <v>539035.66</v>
      </c>
      <c r="H234" s="2274">
        <f>G234</f>
        <v>539035.66</v>
      </c>
      <c r="I234" s="2209">
        <f>J234</f>
        <v>122980.55718180492</v>
      </c>
      <c r="J234" s="2209">
        <f>K234*0.419622103020793</f>
        <v>122980.55718180492</v>
      </c>
      <c r="K234" s="2209">
        <f>H234/1.83924420604159</f>
        <v>293074.545636389</v>
      </c>
      <c r="L234" s="2206"/>
      <c r="M234" s="2206" t="s">
        <v>90</v>
      </c>
      <c r="N234" s="2206" t="s">
        <v>91</v>
      </c>
      <c r="O234" s="549" t="s">
        <v>92</v>
      </c>
      <c r="P234" s="576">
        <v>43773</v>
      </c>
      <c r="Q234" s="577">
        <f>P234+7</f>
        <v>43780</v>
      </c>
      <c r="R234" s="578">
        <f>Q234+7</f>
        <v>43787</v>
      </c>
      <c r="S234" s="578">
        <v>43803</v>
      </c>
      <c r="T234" s="578">
        <v>43810</v>
      </c>
      <c r="U234" s="578">
        <f>T234+7</f>
        <v>43817</v>
      </c>
      <c r="V234" s="625"/>
      <c r="W234" s="578">
        <v>43824</v>
      </c>
      <c r="X234" s="579">
        <v>43836</v>
      </c>
      <c r="Y234" s="1280">
        <v>43846</v>
      </c>
      <c r="Z234" s="1280">
        <v>43966</v>
      </c>
      <c r="AA234" s="1280">
        <f>Z234+365</f>
        <v>44331</v>
      </c>
      <c r="AB234" s="2291">
        <v>724585.32</v>
      </c>
    </row>
    <row r="235" spans="1:31" ht="13.8" customHeight="1" x14ac:dyDescent="0.25">
      <c r="A235" s="2284"/>
      <c r="B235" s="2083"/>
      <c r="C235" s="2207"/>
      <c r="D235" s="2272"/>
      <c r="E235" s="2207"/>
      <c r="F235" s="1154"/>
      <c r="G235" s="1261"/>
      <c r="H235" s="2275"/>
      <c r="I235" s="2210"/>
      <c r="J235" s="2210"/>
      <c r="K235" s="2210"/>
      <c r="L235" s="2207"/>
      <c r="M235" s="2207"/>
      <c r="N235" s="2207"/>
      <c r="O235" s="549" t="s">
        <v>93</v>
      </c>
      <c r="P235" s="564"/>
      <c r="Q235" s="564"/>
      <c r="R235" s="564"/>
      <c r="S235" s="567"/>
      <c r="T235" s="564"/>
      <c r="U235" s="564"/>
      <c r="V235" s="625">
        <v>1263620.98</v>
      </c>
      <c r="W235" s="564"/>
      <c r="X235" s="571"/>
      <c r="Y235" s="572"/>
      <c r="Z235" s="568">
        <v>44114</v>
      </c>
      <c r="AA235" s="568">
        <f>Z235+365</f>
        <v>44479</v>
      </c>
      <c r="AB235" s="2292"/>
      <c r="AC235" s="583">
        <f>V235-AB234</f>
        <v>539035.66</v>
      </c>
    </row>
    <row r="236" spans="1:31" ht="13.8" customHeight="1" x14ac:dyDescent="0.25">
      <c r="A236" s="2285"/>
      <c r="B236" s="2084"/>
      <c r="C236" s="2208"/>
      <c r="D236" s="2273"/>
      <c r="E236" s="2208"/>
      <c r="F236" s="1155"/>
      <c r="G236" s="1262"/>
      <c r="H236" s="2276"/>
      <c r="I236" s="2211"/>
      <c r="J236" s="2211"/>
      <c r="K236" s="2211"/>
      <c r="L236" s="2208"/>
      <c r="M236" s="2208"/>
      <c r="N236" s="2208"/>
      <c r="O236" s="549" t="s">
        <v>94</v>
      </c>
      <c r="P236" s="576">
        <v>43773</v>
      </c>
      <c r="Q236" s="577">
        <f>P236+7</f>
        <v>43780</v>
      </c>
      <c r="R236" s="552">
        <v>43823</v>
      </c>
      <c r="S236" s="580">
        <v>43845</v>
      </c>
      <c r="T236" s="562">
        <v>43857</v>
      </c>
      <c r="U236" s="562">
        <v>43867</v>
      </c>
      <c r="V236" s="626"/>
      <c r="W236" s="552">
        <v>43878</v>
      </c>
      <c r="X236" s="553">
        <v>43885</v>
      </c>
      <c r="Y236" s="568">
        <v>43956</v>
      </c>
      <c r="Z236" s="568"/>
      <c r="AA236" s="568"/>
      <c r="AB236" s="2293"/>
      <c r="AC236" s="583">
        <f t="shared" ref="AC236:AC238" si="15">V236-AB235</f>
        <v>0</v>
      </c>
    </row>
    <row r="237" spans="1:31" ht="13.8" customHeight="1" x14ac:dyDescent="0.25">
      <c r="A237" s="2283">
        <v>2</v>
      </c>
      <c r="B237" s="2082" t="s">
        <v>534</v>
      </c>
      <c r="C237" s="2206" t="s">
        <v>3</v>
      </c>
      <c r="D237" s="2271">
        <v>1</v>
      </c>
      <c r="E237" s="2206" t="s">
        <v>510</v>
      </c>
      <c r="F237" s="1153"/>
      <c r="G237" s="1260">
        <v>901281.57</v>
      </c>
      <c r="H237" s="2274">
        <f>G237</f>
        <v>901281.57</v>
      </c>
      <c r="I237" s="2209">
        <f>J237</f>
        <v>205626.67348629941</v>
      </c>
      <c r="J237" s="2209">
        <f>K237*0.419622103020793</f>
        <v>205626.67348629941</v>
      </c>
      <c r="K237" s="2209">
        <f>H237/1.83924420604159</f>
        <v>490028.22302739916</v>
      </c>
      <c r="L237" s="2206"/>
      <c r="M237" s="2206" t="s">
        <v>90</v>
      </c>
      <c r="N237" s="2206" t="s">
        <v>91</v>
      </c>
      <c r="O237" s="549" t="s">
        <v>92</v>
      </c>
      <c r="P237" s="576">
        <v>43773</v>
      </c>
      <c r="Q237" s="577">
        <f>P237+7</f>
        <v>43780</v>
      </c>
      <c r="R237" s="578">
        <f>Q237+7</f>
        <v>43787</v>
      </c>
      <c r="S237" s="578">
        <v>43803</v>
      </c>
      <c r="T237" s="578">
        <v>43810</v>
      </c>
      <c r="U237" s="578">
        <f>T237+7</f>
        <v>43817</v>
      </c>
      <c r="V237" s="625"/>
      <c r="W237" s="578">
        <v>43824</v>
      </c>
      <c r="X237" s="579">
        <v>43836</v>
      </c>
      <c r="Y237" s="1280">
        <v>43846</v>
      </c>
      <c r="Z237" s="1280">
        <v>43966</v>
      </c>
      <c r="AA237" s="1280">
        <f>Z237+365</f>
        <v>44331</v>
      </c>
      <c r="AB237" s="2291">
        <v>446722.56</v>
      </c>
      <c r="AC237" s="583">
        <f t="shared" si="15"/>
        <v>0</v>
      </c>
    </row>
    <row r="238" spans="1:31" ht="13.8" customHeight="1" x14ac:dyDescent="0.25">
      <c r="A238" s="2284"/>
      <c r="B238" s="2083"/>
      <c r="C238" s="2207"/>
      <c r="D238" s="2272"/>
      <c r="E238" s="2207"/>
      <c r="F238" s="1154"/>
      <c r="G238" s="1261"/>
      <c r="H238" s="2275"/>
      <c r="I238" s="2210"/>
      <c r="J238" s="2210"/>
      <c r="K238" s="2210"/>
      <c r="L238" s="2207"/>
      <c r="M238" s="2207"/>
      <c r="N238" s="2207"/>
      <c r="O238" s="549" t="s">
        <v>93</v>
      </c>
      <c r="P238" s="564"/>
      <c r="Q238" s="564"/>
      <c r="R238" s="564"/>
      <c r="S238" s="567"/>
      <c r="T238" s="564"/>
      <c r="U238" s="564"/>
      <c r="V238" s="625">
        <v>1348004.13</v>
      </c>
      <c r="W238" s="564"/>
      <c r="X238" s="571"/>
      <c r="Y238" s="572"/>
      <c r="Z238" s="568">
        <v>44114</v>
      </c>
      <c r="AA238" s="568">
        <f>Z238+365</f>
        <v>44479</v>
      </c>
      <c r="AB238" s="2292"/>
      <c r="AC238" s="583">
        <f t="shared" si="15"/>
        <v>901281.56999999983</v>
      </c>
    </row>
    <row r="239" spans="1:31" ht="13.8" customHeight="1" x14ac:dyDescent="0.25">
      <c r="A239" s="2285"/>
      <c r="B239" s="2084"/>
      <c r="C239" s="2208"/>
      <c r="D239" s="2273"/>
      <c r="E239" s="2208"/>
      <c r="F239" s="1155"/>
      <c r="G239" s="1262"/>
      <c r="H239" s="2276"/>
      <c r="I239" s="2211"/>
      <c r="J239" s="2211"/>
      <c r="K239" s="2211"/>
      <c r="L239" s="2208"/>
      <c r="M239" s="2208"/>
      <c r="N239" s="2208"/>
      <c r="O239" s="549" t="s">
        <v>94</v>
      </c>
      <c r="P239" s="576">
        <v>43773</v>
      </c>
      <c r="Q239" s="577">
        <f>P239+7</f>
        <v>43780</v>
      </c>
      <c r="R239" s="552">
        <v>43823</v>
      </c>
      <c r="S239" s="580">
        <v>43845</v>
      </c>
      <c r="T239" s="562">
        <v>43857</v>
      </c>
      <c r="U239" s="562">
        <v>43867</v>
      </c>
      <c r="V239" s="626"/>
      <c r="W239" s="552">
        <v>43878</v>
      </c>
      <c r="X239" s="553">
        <v>43885</v>
      </c>
      <c r="Y239" s="568">
        <v>43956</v>
      </c>
      <c r="Z239" s="568"/>
      <c r="AA239" s="568"/>
      <c r="AB239" s="2293"/>
      <c r="AC239" s="583">
        <f>AC235+AC238</f>
        <v>1440317.23</v>
      </c>
    </row>
    <row r="240" spans="1:31" ht="13.8" customHeight="1" x14ac:dyDescent="0.25">
      <c r="A240" s="2283">
        <v>3</v>
      </c>
      <c r="B240" s="2082" t="s">
        <v>602</v>
      </c>
      <c r="C240" s="2206" t="s">
        <v>3</v>
      </c>
      <c r="D240" s="2271">
        <v>1</v>
      </c>
      <c r="E240" s="2206" t="s">
        <v>506</v>
      </c>
      <c r="F240" s="1153"/>
      <c r="G240" s="1260">
        <v>7998959.3799999999</v>
      </c>
      <c r="H240" s="2274">
        <f>G240</f>
        <v>7998959.3799999999</v>
      </c>
      <c r="I240" s="2209">
        <f>J240</f>
        <v>1824956.2216848971</v>
      </c>
      <c r="J240" s="2209">
        <f>K240*0.419622103020793</f>
        <v>1824956.2216848971</v>
      </c>
      <c r="K240" s="2209">
        <f>H240/1.83924420604159</f>
        <v>4349046.9366301885</v>
      </c>
      <c r="L240" s="2206"/>
      <c r="M240" s="2206" t="s">
        <v>90</v>
      </c>
      <c r="N240" s="2206" t="s">
        <v>91</v>
      </c>
      <c r="O240" s="549" t="s">
        <v>92</v>
      </c>
      <c r="P240" s="576">
        <v>43787</v>
      </c>
      <c r="Q240" s="551">
        <f>P240+7</f>
        <v>43794</v>
      </c>
      <c r="R240" s="552">
        <v>43902</v>
      </c>
      <c r="S240" s="552">
        <v>43923</v>
      </c>
      <c r="T240" s="552">
        <v>43930</v>
      </c>
      <c r="U240" s="552">
        <f>T240+7</f>
        <v>43937</v>
      </c>
      <c r="V240" s="625"/>
      <c r="W240" s="552">
        <v>43944</v>
      </c>
      <c r="X240" s="553">
        <v>43951</v>
      </c>
      <c r="Y240" s="554">
        <v>43955</v>
      </c>
      <c r="Z240" s="554">
        <v>44015</v>
      </c>
      <c r="AA240" s="554">
        <f>Z240+365</f>
        <v>44380</v>
      </c>
      <c r="AB240" s="2291"/>
    </row>
    <row r="241" spans="1:31" ht="13.8" customHeight="1" x14ac:dyDescent="0.25">
      <c r="A241" s="2284"/>
      <c r="B241" s="2083"/>
      <c r="C241" s="2207"/>
      <c r="D241" s="2272"/>
      <c r="E241" s="2207"/>
      <c r="F241" s="1154"/>
      <c r="G241" s="1261"/>
      <c r="H241" s="2275"/>
      <c r="I241" s="2210"/>
      <c r="J241" s="2210"/>
      <c r="K241" s="2210"/>
      <c r="L241" s="2207"/>
      <c r="M241" s="2207"/>
      <c r="N241" s="2207"/>
      <c r="O241" s="549" t="s">
        <v>93</v>
      </c>
      <c r="P241" s="1190"/>
      <c r="Q241" s="1190"/>
      <c r="R241" s="1190"/>
      <c r="S241" s="1190"/>
      <c r="T241" s="1190"/>
      <c r="U241" s="1190"/>
      <c r="V241" s="625">
        <v>7998959.3799999999</v>
      </c>
      <c r="W241" s="1190"/>
      <c r="X241" s="1216"/>
      <c r="Y241" s="1630"/>
      <c r="Z241" s="1217">
        <f>Y242+150</f>
        <v>44149</v>
      </c>
      <c r="AA241" s="1217">
        <f>Z241+365</f>
        <v>44514</v>
      </c>
      <c r="AB241" s="2292"/>
    </row>
    <row r="242" spans="1:31" ht="13.8" customHeight="1" x14ac:dyDescent="0.25">
      <c r="A242" s="2285"/>
      <c r="B242" s="2084"/>
      <c r="C242" s="2208"/>
      <c r="D242" s="2273"/>
      <c r="E242" s="2208"/>
      <c r="F242" s="1155"/>
      <c r="G242" s="1262"/>
      <c r="H242" s="2276"/>
      <c r="I242" s="2211"/>
      <c r="J242" s="2211"/>
      <c r="K242" s="2211"/>
      <c r="L242" s="2208"/>
      <c r="M242" s="2208"/>
      <c r="N242" s="2208"/>
      <c r="O242" s="549" t="s">
        <v>94</v>
      </c>
      <c r="P242" s="576">
        <v>43787</v>
      </c>
      <c r="Q242" s="551">
        <f>P242+7</f>
        <v>43794</v>
      </c>
      <c r="R242" s="552">
        <v>43902</v>
      </c>
      <c r="S242" s="580">
        <v>43923</v>
      </c>
      <c r="T242" s="562">
        <v>43958</v>
      </c>
      <c r="U242" s="562">
        <v>43959</v>
      </c>
      <c r="V242" s="626"/>
      <c r="W242" s="552">
        <v>43998</v>
      </c>
      <c r="X242" s="553">
        <v>43998</v>
      </c>
      <c r="Y242" s="568">
        <v>43999</v>
      </c>
      <c r="Z242" s="568"/>
      <c r="AA242" s="568"/>
      <c r="AB242" s="2293"/>
    </row>
    <row r="243" spans="1:31" s="1183" customFormat="1" x14ac:dyDescent="0.25">
      <c r="A243" s="1188"/>
      <c r="B243" s="1188" t="s">
        <v>490</v>
      </c>
      <c r="C243" s="1188"/>
      <c r="D243" s="1318">
        <f>D234+D237+D240</f>
        <v>3</v>
      </c>
      <c r="E243" s="1318" t="s">
        <v>138</v>
      </c>
      <c r="F243" s="1318">
        <f t="shared" ref="F243:L243" si="16">F234+F237+F240</f>
        <v>0</v>
      </c>
      <c r="G243" s="1318">
        <f t="shared" si="16"/>
        <v>9439276.6099999994</v>
      </c>
      <c r="H243" s="1318">
        <f t="shared" si="16"/>
        <v>9439276.6099999994</v>
      </c>
      <c r="I243" s="1318">
        <f t="shared" si="16"/>
        <v>2153563.4523530016</v>
      </c>
      <c r="J243" s="1318">
        <f t="shared" si="16"/>
        <v>2153563.4523530016</v>
      </c>
      <c r="K243" s="1318">
        <f t="shared" si="16"/>
        <v>5132149.7052939767</v>
      </c>
      <c r="L243" s="1318">
        <f t="shared" si="16"/>
        <v>0</v>
      </c>
      <c r="M243" s="1188"/>
      <c r="N243" s="1188"/>
      <c r="O243" s="1188"/>
      <c r="P243" s="1188"/>
      <c r="Q243" s="1188"/>
      <c r="R243" s="1188"/>
      <c r="S243" s="1188"/>
      <c r="T243" s="1188"/>
      <c r="U243" s="1188"/>
      <c r="V243" s="1319">
        <f>V235+V238+V241</f>
        <v>10610584.49</v>
      </c>
      <c r="W243" s="1188"/>
      <c r="X243" s="1188"/>
      <c r="Y243" s="1188"/>
      <c r="Z243" s="1188"/>
      <c r="AA243" s="1188"/>
      <c r="AB243" s="1320">
        <f>AB234+AB237+AB240</f>
        <v>1171307.8799999999</v>
      </c>
      <c r="AE243" s="1205"/>
    </row>
    <row r="244" spans="1:31" s="566" customFormat="1" x14ac:dyDescent="0.25">
      <c r="A244" s="594"/>
      <c r="B244" s="639" t="s">
        <v>151</v>
      </c>
      <c r="C244" s="594"/>
      <c r="D244" s="854"/>
      <c r="E244" s="594"/>
      <c r="F244" s="594"/>
      <c r="G244" s="856">
        <f>G201+G206+G214+G219+G224+G232+G243</f>
        <v>32882129.739999998</v>
      </c>
      <c r="H244" s="856">
        <f>H201+H206+H214+H219+H224+H232+H243</f>
        <v>32882129.739999998</v>
      </c>
      <c r="I244" s="856">
        <f>I201+I206+I214+I219+I224+I232+I243</f>
        <v>7502031.7519430881</v>
      </c>
      <c r="J244" s="856">
        <f>J201+J206+J214+J219+J224+J232+J243</f>
        <v>7502031.7519430881</v>
      </c>
      <c r="K244" s="856">
        <f>K201+K206+K214+K219+K224+K232+K243</f>
        <v>17878066.236113753</v>
      </c>
      <c r="L244" s="594"/>
      <c r="M244" s="594"/>
      <c r="N244" s="594"/>
      <c r="O244" s="594"/>
      <c r="P244" s="594"/>
      <c r="Q244" s="594"/>
      <c r="R244" s="594"/>
      <c r="S244" s="594"/>
      <c r="T244" s="594"/>
      <c r="U244" s="594"/>
      <c r="V244" s="856">
        <f>V201+V206+V214+V219+V224+V232+V243</f>
        <v>50648994.080000006</v>
      </c>
      <c r="W244" s="856">
        <f t="shared" ref="W244:AB244" si="17">W201+W206+W214+W219+W224+W232+W243</f>
        <v>0</v>
      </c>
      <c r="X244" s="856">
        <f t="shared" si="17"/>
        <v>0</v>
      </c>
      <c r="Y244" s="856">
        <f t="shared" si="17"/>
        <v>0</v>
      </c>
      <c r="Z244" s="856">
        <f t="shared" si="17"/>
        <v>0</v>
      </c>
      <c r="AA244" s="856">
        <f t="shared" si="17"/>
        <v>0</v>
      </c>
      <c r="AB244" s="856">
        <f t="shared" si="17"/>
        <v>17766864.34</v>
      </c>
      <c r="AC244" s="1631">
        <f>V244-AB244</f>
        <v>32882129.740000006</v>
      </c>
      <c r="AE244" s="857"/>
    </row>
    <row r="245" spans="1:31" s="566" customFormat="1" x14ac:dyDescent="0.25">
      <c r="A245" s="858"/>
      <c r="B245" s="655" t="s">
        <v>491</v>
      </c>
      <c r="C245" s="858"/>
      <c r="D245" s="859"/>
      <c r="E245" s="858"/>
      <c r="F245" s="858"/>
      <c r="G245" s="861">
        <f>G177+G244</f>
        <v>145159529.72</v>
      </c>
      <c r="H245" s="861">
        <f>H177+H244</f>
        <v>145159529.72</v>
      </c>
      <c r="I245" s="861">
        <f>I177+I244</f>
        <v>32949122.263350639</v>
      </c>
      <c r="J245" s="861">
        <f>J177+J244</f>
        <v>32949122.263350639</v>
      </c>
      <c r="K245" s="861">
        <f>K177+K244</f>
        <v>79261285.193298653</v>
      </c>
      <c r="L245" s="858"/>
      <c r="M245" s="858"/>
      <c r="N245" s="858"/>
      <c r="O245" s="858"/>
      <c r="P245" s="858"/>
      <c r="Q245" s="858"/>
      <c r="R245" s="858"/>
      <c r="S245" s="858"/>
      <c r="T245" s="858"/>
      <c r="U245" s="858"/>
      <c r="V245" s="860"/>
      <c r="W245" s="858"/>
      <c r="X245" s="858"/>
      <c r="Y245" s="858"/>
      <c r="Z245" s="858"/>
      <c r="AA245" s="858"/>
      <c r="AB245" s="861"/>
      <c r="AE245" s="857"/>
    </row>
    <row r="246" spans="1:31" x14ac:dyDescent="0.25">
      <c r="H246" s="929"/>
    </row>
    <row r="247" spans="1:31" x14ac:dyDescent="0.25">
      <c r="H247" s="929"/>
    </row>
    <row r="248" spans="1:31" x14ac:dyDescent="0.25">
      <c r="H248" s="929"/>
      <c r="J248" s="600">
        <f>I245+J245+K245</f>
        <v>145159529.71999994</v>
      </c>
    </row>
    <row r="249" spans="1:31" x14ac:dyDescent="0.25">
      <c r="G249" s="600">
        <v>9018603.0899999999</v>
      </c>
      <c r="H249" s="929">
        <f>G249</f>
        <v>9018603.0899999999</v>
      </c>
    </row>
    <row r="250" spans="1:31" x14ac:dyDescent="0.25">
      <c r="G250" s="600">
        <v>5040160.0199999996</v>
      </c>
      <c r="H250" s="929">
        <f>G250</f>
        <v>5040160.0199999996</v>
      </c>
      <c r="I250" s="600">
        <f>J250</f>
        <v>1142326.1336988939</v>
      </c>
      <c r="J250" s="600">
        <f>K250*0.414561030583245</f>
        <v>1142326.1336988939</v>
      </c>
      <c r="K250" s="600">
        <f>H250/1.82912206116649</f>
        <v>2755507.7526022112</v>
      </c>
    </row>
    <row r="251" spans="1:31" x14ac:dyDescent="0.25">
      <c r="E251" s="583">
        <f>G244+G249</f>
        <v>41900732.829999998</v>
      </c>
      <c r="G251" s="600">
        <f>G249+G250</f>
        <v>14058763.109999999</v>
      </c>
      <c r="H251" s="929"/>
      <c r="I251" s="600">
        <f>I177+I249+I250</f>
        <v>26589416.645106446</v>
      </c>
      <c r="J251" s="600">
        <f>J177+J249+J250</f>
        <v>26589416.645106446</v>
      </c>
      <c r="K251" s="600">
        <f>K177+K249+K250</f>
        <v>64138726.709787115</v>
      </c>
    </row>
    <row r="252" spans="1:31" x14ac:dyDescent="0.25">
      <c r="G252" s="600">
        <f>G245+G251</f>
        <v>159218292.82999998</v>
      </c>
      <c r="H252" s="929"/>
    </row>
    <row r="253" spans="1:31" x14ac:dyDescent="0.25">
      <c r="H253" s="929"/>
    </row>
    <row r="254" spans="1:31" x14ac:dyDescent="0.25">
      <c r="H254" s="929"/>
    </row>
    <row r="255" spans="1:31" x14ac:dyDescent="0.25">
      <c r="H255" s="929"/>
    </row>
    <row r="256" spans="1:31" ht="15.6" x14ac:dyDescent="0.3">
      <c r="H256" s="929"/>
      <c r="K256" s="1609"/>
    </row>
    <row r="257" spans="5:11" ht="15.6" x14ac:dyDescent="0.3">
      <c r="H257" s="929"/>
      <c r="J257" s="600" t="s">
        <v>881</v>
      </c>
      <c r="K257" s="1609">
        <v>132365702</v>
      </c>
    </row>
    <row r="258" spans="5:11" ht="15.6" x14ac:dyDescent="0.3">
      <c r="E258" s="583">
        <f>G177</f>
        <v>112277399.98</v>
      </c>
      <c r="J258" s="600" t="s">
        <v>882</v>
      </c>
      <c r="K258" s="1609">
        <v>41900732.829999998</v>
      </c>
    </row>
    <row r="259" spans="5:11" ht="15.6" x14ac:dyDescent="0.3">
      <c r="E259" s="583">
        <f>G244</f>
        <v>32882129.739999998</v>
      </c>
      <c r="J259" s="600" t="s">
        <v>883</v>
      </c>
      <c r="K259" s="1609">
        <f>'State projects APP'!H28</f>
        <v>14085000</v>
      </c>
    </row>
    <row r="260" spans="5:11" ht="15.6" x14ac:dyDescent="0.3">
      <c r="E260" s="583">
        <f>'Goods APP '!G59</f>
        <v>26881907.120000001</v>
      </c>
      <c r="J260" s="600" t="s">
        <v>884</v>
      </c>
      <c r="K260" s="1609">
        <f>' Municipal Projects APP '!H26</f>
        <v>13448892</v>
      </c>
    </row>
    <row r="261" spans="5:11" ht="15.6" x14ac:dyDescent="0.3">
      <c r="E261" s="583">
        <f>E258+E259+E260</f>
        <v>172041436.84</v>
      </c>
      <c r="K261" s="1609">
        <f>K257+K258+K259+K260</f>
        <v>201800326.82999998</v>
      </c>
    </row>
    <row r="262" spans="5:11" ht="15.6" x14ac:dyDescent="0.3">
      <c r="E262" s="1997">
        <f>'19. capacity Building Plan'!M45</f>
        <v>2225000</v>
      </c>
      <c r="G262" s="600">
        <v>72365702</v>
      </c>
      <c r="K262" s="1609"/>
    </row>
    <row r="263" spans="5:11" x14ac:dyDescent="0.25">
      <c r="E263" s="583">
        <f>E261+E262</f>
        <v>174266436.84</v>
      </c>
      <c r="G263" s="600">
        <v>30000000</v>
      </c>
    </row>
    <row r="264" spans="5:11" x14ac:dyDescent="0.25">
      <c r="G264" s="600">
        <v>30000000</v>
      </c>
    </row>
    <row r="265" spans="5:11" x14ac:dyDescent="0.25">
      <c r="G265" s="600">
        <v>41900732.829999998</v>
      </c>
    </row>
    <row r="266" spans="5:11" x14ac:dyDescent="0.25">
      <c r="G266" s="600">
        <f>G262+G263+G264+G265</f>
        <v>174266434.82999998</v>
      </c>
    </row>
  </sheetData>
  <mergeCells count="823">
    <mergeCell ref="L56:L58"/>
    <mergeCell ref="M56:M58"/>
    <mergeCell ref="N56:N58"/>
    <mergeCell ref="A56:A58"/>
    <mergeCell ref="B56:B58"/>
    <mergeCell ref="C56:C58"/>
    <mergeCell ref="E56:E58"/>
    <mergeCell ref="G56:G58"/>
    <mergeCell ref="H56:H58"/>
    <mergeCell ref="I56:I58"/>
    <mergeCell ref="J56:J58"/>
    <mergeCell ref="K56:K58"/>
    <mergeCell ref="L118:L120"/>
    <mergeCell ref="M118:M120"/>
    <mergeCell ref="N118:N120"/>
    <mergeCell ref="A115:A117"/>
    <mergeCell ref="B115:B117"/>
    <mergeCell ref="C115:C117"/>
    <mergeCell ref="E115:E117"/>
    <mergeCell ref="G115:G117"/>
    <mergeCell ref="I115:I117"/>
    <mergeCell ref="J115:J117"/>
    <mergeCell ref="K115:K117"/>
    <mergeCell ref="L115:L117"/>
    <mergeCell ref="M115:M117"/>
    <mergeCell ref="N115:N117"/>
    <mergeCell ref="A118:A120"/>
    <mergeCell ref="B118:B120"/>
    <mergeCell ref="C118:C120"/>
    <mergeCell ref="E118:E120"/>
    <mergeCell ref="G118:G120"/>
    <mergeCell ref="I118:I120"/>
    <mergeCell ref="J118:J120"/>
    <mergeCell ref="K118:K120"/>
    <mergeCell ref="I124:I126"/>
    <mergeCell ref="J124:J126"/>
    <mergeCell ref="K124:K126"/>
    <mergeCell ref="L124:L126"/>
    <mergeCell ref="M124:M126"/>
    <mergeCell ref="N124:N126"/>
    <mergeCell ref="A121:A123"/>
    <mergeCell ref="B121:B123"/>
    <mergeCell ref="C121:C123"/>
    <mergeCell ref="E121:E123"/>
    <mergeCell ref="G121:G123"/>
    <mergeCell ref="I121:I123"/>
    <mergeCell ref="J121:J123"/>
    <mergeCell ref="K121:K123"/>
    <mergeCell ref="L121:L123"/>
    <mergeCell ref="M121:M123"/>
    <mergeCell ref="N121:N123"/>
    <mergeCell ref="M127:M129"/>
    <mergeCell ref="N127:N129"/>
    <mergeCell ref="C133:C135"/>
    <mergeCell ref="E133:E135"/>
    <mergeCell ref="G133:G135"/>
    <mergeCell ref="I133:I135"/>
    <mergeCell ref="J133:J135"/>
    <mergeCell ref="K133:K135"/>
    <mergeCell ref="L133:L135"/>
    <mergeCell ref="M133:M135"/>
    <mergeCell ref="N133:N135"/>
    <mergeCell ref="C130:C132"/>
    <mergeCell ref="E130:E132"/>
    <mergeCell ref="G130:G132"/>
    <mergeCell ref="I130:I132"/>
    <mergeCell ref="M130:M132"/>
    <mergeCell ref="N130:N132"/>
    <mergeCell ref="A83:A85"/>
    <mergeCell ref="B83:B85"/>
    <mergeCell ref="C83:C85"/>
    <mergeCell ref="E83:E85"/>
    <mergeCell ref="G83:G85"/>
    <mergeCell ref="I83:I85"/>
    <mergeCell ref="J83:J85"/>
    <mergeCell ref="K83:K85"/>
    <mergeCell ref="L83:L85"/>
    <mergeCell ref="M83:M85"/>
    <mergeCell ref="N83:N85"/>
    <mergeCell ref="K86:K88"/>
    <mergeCell ref="L86:L88"/>
    <mergeCell ref="M86:M88"/>
    <mergeCell ref="N86:N88"/>
    <mergeCell ref="K98:K100"/>
    <mergeCell ref="L98:L100"/>
    <mergeCell ref="M98:M100"/>
    <mergeCell ref="N98:N100"/>
    <mergeCell ref="M95:M97"/>
    <mergeCell ref="N95:N97"/>
    <mergeCell ref="M92:M94"/>
    <mergeCell ref="N92:N94"/>
    <mergeCell ref="A95:A97"/>
    <mergeCell ref="B95:B97"/>
    <mergeCell ref="C95:C97"/>
    <mergeCell ref="M80:M82"/>
    <mergeCell ref="N80:N82"/>
    <mergeCell ref="A89:A91"/>
    <mergeCell ref="B89:B91"/>
    <mergeCell ref="C89:C91"/>
    <mergeCell ref="E89:E91"/>
    <mergeCell ref="G89:G91"/>
    <mergeCell ref="I89:I91"/>
    <mergeCell ref="J89:J91"/>
    <mergeCell ref="K89:K91"/>
    <mergeCell ref="L89:L91"/>
    <mergeCell ref="M89:M91"/>
    <mergeCell ref="N89:N91"/>
    <mergeCell ref="A86:A88"/>
    <mergeCell ref="B86:B88"/>
    <mergeCell ref="C86:C88"/>
    <mergeCell ref="E86:E88"/>
    <mergeCell ref="G86:G88"/>
    <mergeCell ref="I86:I88"/>
    <mergeCell ref="J86:J88"/>
    <mergeCell ref="A80:A82"/>
    <mergeCell ref="B80:B82"/>
    <mergeCell ref="C80:C82"/>
    <mergeCell ref="E80:E82"/>
    <mergeCell ref="G80:G82"/>
    <mergeCell ref="I80:I82"/>
    <mergeCell ref="J80:J82"/>
    <mergeCell ref="K80:K82"/>
    <mergeCell ref="L80:L82"/>
    <mergeCell ref="J95:J97"/>
    <mergeCell ref="K95:K97"/>
    <mergeCell ref="L95:L97"/>
    <mergeCell ref="E95:E97"/>
    <mergeCell ref="G95:G97"/>
    <mergeCell ref="I95:I97"/>
    <mergeCell ref="A92:A94"/>
    <mergeCell ref="B92:B94"/>
    <mergeCell ref="C92:C94"/>
    <mergeCell ref="E92:E94"/>
    <mergeCell ref="G92:G94"/>
    <mergeCell ref="I92:I94"/>
    <mergeCell ref="J92:J94"/>
    <mergeCell ref="K92:K94"/>
    <mergeCell ref="L92:L94"/>
    <mergeCell ref="K173:K175"/>
    <mergeCell ref="L173:L175"/>
    <mergeCell ref="M173:M175"/>
    <mergeCell ref="N173:N175"/>
    <mergeCell ref="A163:A165"/>
    <mergeCell ref="B163:B165"/>
    <mergeCell ref="C163:C165"/>
    <mergeCell ref="D163:D165"/>
    <mergeCell ref="E163:E165"/>
    <mergeCell ref="C168:C170"/>
    <mergeCell ref="D168:D170"/>
    <mergeCell ref="E168:E170"/>
    <mergeCell ref="G168:G170"/>
    <mergeCell ref="M163:M165"/>
    <mergeCell ref="N163:N165"/>
    <mergeCell ref="H168:H170"/>
    <mergeCell ref="I168:I170"/>
    <mergeCell ref="G163:G165"/>
    <mergeCell ref="H163:H165"/>
    <mergeCell ref="I163:I165"/>
    <mergeCell ref="J163:J165"/>
    <mergeCell ref="K163:K165"/>
    <mergeCell ref="L163:L165"/>
    <mergeCell ref="J168:J170"/>
    <mergeCell ref="K168:K170"/>
    <mergeCell ref="L168:L170"/>
    <mergeCell ref="M168:M170"/>
    <mergeCell ref="N168:N170"/>
    <mergeCell ref="N234:N236"/>
    <mergeCell ref="AB234:AB236"/>
    <mergeCell ref="M150:M152"/>
    <mergeCell ref="N150:N152"/>
    <mergeCell ref="A153:A155"/>
    <mergeCell ref="B153:B155"/>
    <mergeCell ref="C153:C155"/>
    <mergeCell ref="D153:D155"/>
    <mergeCell ref="E153:E155"/>
    <mergeCell ref="G158:G160"/>
    <mergeCell ref="H158:H160"/>
    <mergeCell ref="I158:I160"/>
    <mergeCell ref="J158:J160"/>
    <mergeCell ref="K158:K160"/>
    <mergeCell ref="L158:L160"/>
    <mergeCell ref="M158:M160"/>
    <mergeCell ref="N158:N160"/>
    <mergeCell ref="A158:A160"/>
    <mergeCell ref="B158:B160"/>
    <mergeCell ref="C158:C160"/>
    <mergeCell ref="D158:D160"/>
    <mergeCell ref="E158:E160"/>
    <mergeCell ref="M153:M155"/>
    <mergeCell ref="N153:N155"/>
    <mergeCell ref="N237:N239"/>
    <mergeCell ref="AB237:AB239"/>
    <mergeCell ref="N240:N242"/>
    <mergeCell ref="AB240:AB242"/>
    <mergeCell ref="A237:A239"/>
    <mergeCell ref="B237:B239"/>
    <mergeCell ref="C237:C239"/>
    <mergeCell ref="D237:D239"/>
    <mergeCell ref="E237:E239"/>
    <mergeCell ref="H237:H239"/>
    <mergeCell ref="I237:I239"/>
    <mergeCell ref="H240:H242"/>
    <mergeCell ref="I240:I242"/>
    <mergeCell ref="J240:J242"/>
    <mergeCell ref="K240:K242"/>
    <mergeCell ref="L240:L242"/>
    <mergeCell ref="M240:M242"/>
    <mergeCell ref="A240:A242"/>
    <mergeCell ref="B240:B242"/>
    <mergeCell ref="C240:C242"/>
    <mergeCell ref="AB221:AB223"/>
    <mergeCell ref="H221:H223"/>
    <mergeCell ref="I221:I223"/>
    <mergeCell ref="J221:J223"/>
    <mergeCell ref="K221:K223"/>
    <mergeCell ref="L221:L223"/>
    <mergeCell ref="M221:M223"/>
    <mergeCell ref="K229:K231"/>
    <mergeCell ref="L229:L231"/>
    <mergeCell ref="M229:M231"/>
    <mergeCell ref="N229:N231"/>
    <mergeCell ref="V229:V231"/>
    <mergeCell ref="AB229:AB231"/>
    <mergeCell ref="AB226:AB228"/>
    <mergeCell ref="I229:I231"/>
    <mergeCell ref="J229:J231"/>
    <mergeCell ref="J226:J228"/>
    <mergeCell ref="K226:K228"/>
    <mergeCell ref="L226:L228"/>
    <mergeCell ref="M226:M228"/>
    <mergeCell ref="N226:N228"/>
    <mergeCell ref="V226:V228"/>
    <mergeCell ref="V221:V223"/>
    <mergeCell ref="A226:A228"/>
    <mergeCell ref="B226:B228"/>
    <mergeCell ref="C226:C228"/>
    <mergeCell ref="D226:D228"/>
    <mergeCell ref="E226:E228"/>
    <mergeCell ref="H226:H228"/>
    <mergeCell ref="I226:I228"/>
    <mergeCell ref="N221:N223"/>
    <mergeCell ref="D240:D242"/>
    <mergeCell ref="E240:E242"/>
    <mergeCell ref="A221:A223"/>
    <mergeCell ref="B221:B223"/>
    <mergeCell ref="C221:C223"/>
    <mergeCell ref="D221:D223"/>
    <mergeCell ref="E221:E223"/>
    <mergeCell ref="K234:K236"/>
    <mergeCell ref="L234:L236"/>
    <mergeCell ref="M234:M236"/>
    <mergeCell ref="J237:J239"/>
    <mergeCell ref="K237:K239"/>
    <mergeCell ref="L237:L239"/>
    <mergeCell ref="M237:M239"/>
    <mergeCell ref="A234:A236"/>
    <mergeCell ref="B234:B236"/>
    <mergeCell ref="G216:G218"/>
    <mergeCell ref="K211:K213"/>
    <mergeCell ref="L211:L213"/>
    <mergeCell ref="M211:M213"/>
    <mergeCell ref="D216:D218"/>
    <mergeCell ref="V216:V218"/>
    <mergeCell ref="AB208:AB210"/>
    <mergeCell ref="A211:A213"/>
    <mergeCell ref="B211:B213"/>
    <mergeCell ref="C211:C213"/>
    <mergeCell ref="E211:E213"/>
    <mergeCell ref="G211:G213"/>
    <mergeCell ref="I211:I213"/>
    <mergeCell ref="J211:J213"/>
    <mergeCell ref="I208:I210"/>
    <mergeCell ref="J208:J210"/>
    <mergeCell ref="K208:K210"/>
    <mergeCell ref="L208:L210"/>
    <mergeCell ref="M208:M210"/>
    <mergeCell ref="N208:N210"/>
    <mergeCell ref="A208:A210"/>
    <mergeCell ref="B208:B210"/>
    <mergeCell ref="C208:C210"/>
    <mergeCell ref="E208:E210"/>
    <mergeCell ref="G208:G210"/>
    <mergeCell ref="N211:N213"/>
    <mergeCell ref="AB211:AB213"/>
    <mergeCell ref="AB203:AB205"/>
    <mergeCell ref="A203:A205"/>
    <mergeCell ref="B203:B205"/>
    <mergeCell ref="C203:C205"/>
    <mergeCell ref="D203:D205"/>
    <mergeCell ref="E203:E205"/>
    <mergeCell ref="H203:H205"/>
    <mergeCell ref="I203:I205"/>
    <mergeCell ref="J203:J205"/>
    <mergeCell ref="K203:K205"/>
    <mergeCell ref="L203:L205"/>
    <mergeCell ref="M203:M205"/>
    <mergeCell ref="C234:C236"/>
    <mergeCell ref="D234:D236"/>
    <mergeCell ref="E234:E236"/>
    <mergeCell ref="H234:H236"/>
    <mergeCell ref="I234:I236"/>
    <mergeCell ref="J234:J236"/>
    <mergeCell ref="A229:A231"/>
    <mergeCell ref="B229:B231"/>
    <mergeCell ref="C229:C231"/>
    <mergeCell ref="D229:D231"/>
    <mergeCell ref="E229:E231"/>
    <mergeCell ref="H229:H231"/>
    <mergeCell ref="A198:A200"/>
    <mergeCell ref="B198:B200"/>
    <mergeCell ref="C198:C200"/>
    <mergeCell ref="E198:E200"/>
    <mergeCell ref="G198:G200"/>
    <mergeCell ref="N216:N218"/>
    <mergeCell ref="H216:H218"/>
    <mergeCell ref="I216:I218"/>
    <mergeCell ref="J216:J218"/>
    <mergeCell ref="K216:K218"/>
    <mergeCell ref="L216:L218"/>
    <mergeCell ref="M216:M218"/>
    <mergeCell ref="A216:A218"/>
    <mergeCell ref="B216:B218"/>
    <mergeCell ref="C216:C218"/>
    <mergeCell ref="E216:E218"/>
    <mergeCell ref="G203:G205"/>
    <mergeCell ref="N203:N205"/>
    <mergeCell ref="N198:N200"/>
    <mergeCell ref="I198:I200"/>
    <mergeCell ref="J198:J200"/>
    <mergeCell ref="K198:K200"/>
    <mergeCell ref="L198:L200"/>
    <mergeCell ref="M198:M200"/>
    <mergeCell ref="J195:J197"/>
    <mergeCell ref="K195:K197"/>
    <mergeCell ref="L195:L197"/>
    <mergeCell ref="M195:M197"/>
    <mergeCell ref="N195:N197"/>
    <mergeCell ref="L192:L194"/>
    <mergeCell ref="M192:M194"/>
    <mergeCell ref="N192:N194"/>
    <mergeCell ref="A195:A197"/>
    <mergeCell ref="B195:B197"/>
    <mergeCell ref="C195:C197"/>
    <mergeCell ref="E195:E197"/>
    <mergeCell ref="G195:G197"/>
    <mergeCell ref="I195:I197"/>
    <mergeCell ref="A192:A194"/>
    <mergeCell ref="B192:B194"/>
    <mergeCell ref="C192:C194"/>
    <mergeCell ref="E192:E194"/>
    <mergeCell ref="G192:G194"/>
    <mergeCell ref="I192:I194"/>
    <mergeCell ref="J192:J194"/>
    <mergeCell ref="K192:K194"/>
    <mergeCell ref="J186:J188"/>
    <mergeCell ref="K186:K188"/>
    <mergeCell ref="L186:L188"/>
    <mergeCell ref="M186:M188"/>
    <mergeCell ref="N186:N188"/>
    <mergeCell ref="A189:A191"/>
    <mergeCell ref="B189:B191"/>
    <mergeCell ref="C189:C191"/>
    <mergeCell ref="E189:E191"/>
    <mergeCell ref="G189:G191"/>
    <mergeCell ref="A186:A188"/>
    <mergeCell ref="B186:B188"/>
    <mergeCell ref="C186:C188"/>
    <mergeCell ref="E186:E188"/>
    <mergeCell ref="G186:G188"/>
    <mergeCell ref="I186:I188"/>
    <mergeCell ref="N189:N191"/>
    <mergeCell ref="I189:I191"/>
    <mergeCell ref="J189:J191"/>
    <mergeCell ref="K189:K191"/>
    <mergeCell ref="L189:L191"/>
    <mergeCell ref="M189:M191"/>
    <mergeCell ref="A168:A170"/>
    <mergeCell ref="B168:B170"/>
    <mergeCell ref="I173:I175"/>
    <mergeCell ref="J173:J175"/>
    <mergeCell ref="A173:A175"/>
    <mergeCell ref="B173:B175"/>
    <mergeCell ref="C173:C175"/>
    <mergeCell ref="D173:D175"/>
    <mergeCell ref="E173:E175"/>
    <mergeCell ref="G173:G175"/>
    <mergeCell ref="N180:N182"/>
    <mergeCell ref="A183:A185"/>
    <mergeCell ref="B183:B185"/>
    <mergeCell ref="C183:C185"/>
    <mergeCell ref="E183:E185"/>
    <mergeCell ref="G183:G185"/>
    <mergeCell ref="I183:I185"/>
    <mergeCell ref="J183:J185"/>
    <mergeCell ref="K183:K185"/>
    <mergeCell ref="I180:I182"/>
    <mergeCell ref="J180:J182"/>
    <mergeCell ref="K180:K182"/>
    <mergeCell ref="L180:L182"/>
    <mergeCell ref="M180:M182"/>
    <mergeCell ref="L183:L185"/>
    <mergeCell ref="M183:M185"/>
    <mergeCell ref="N183:N185"/>
    <mergeCell ref="A180:A182"/>
    <mergeCell ref="B180:B182"/>
    <mergeCell ref="C180:C182"/>
    <mergeCell ref="E180:E182"/>
    <mergeCell ref="G180:G182"/>
    <mergeCell ref="K147:K149"/>
    <mergeCell ref="L147:L149"/>
    <mergeCell ref="A150:A152"/>
    <mergeCell ref="B150:B152"/>
    <mergeCell ref="C150:C152"/>
    <mergeCell ref="D150:D152"/>
    <mergeCell ref="I153:I155"/>
    <mergeCell ref="J153:J155"/>
    <mergeCell ref="K153:K155"/>
    <mergeCell ref="L153:L155"/>
    <mergeCell ref="J150:J152"/>
    <mergeCell ref="K150:K152"/>
    <mergeCell ref="L150:L152"/>
    <mergeCell ref="E150:E152"/>
    <mergeCell ref="G150:G152"/>
    <mergeCell ref="H150:H152"/>
    <mergeCell ref="I150:I152"/>
    <mergeCell ref="G153:G155"/>
    <mergeCell ref="H153:H155"/>
    <mergeCell ref="J144:J146"/>
    <mergeCell ref="K144:K146"/>
    <mergeCell ref="L144:L146"/>
    <mergeCell ref="M144:M146"/>
    <mergeCell ref="N144:N146"/>
    <mergeCell ref="A147:A149"/>
    <mergeCell ref="B147:B149"/>
    <mergeCell ref="C147:C149"/>
    <mergeCell ref="D147:D149"/>
    <mergeCell ref="E147:E149"/>
    <mergeCell ref="A144:A146"/>
    <mergeCell ref="B144:B146"/>
    <mergeCell ref="C144:C146"/>
    <mergeCell ref="D144:D146"/>
    <mergeCell ref="E144:E146"/>
    <mergeCell ref="G144:G146"/>
    <mergeCell ref="H144:H146"/>
    <mergeCell ref="I144:I146"/>
    <mergeCell ref="H147:H149"/>
    <mergeCell ref="M147:M149"/>
    <mergeCell ref="N147:N149"/>
    <mergeCell ref="G147:G149"/>
    <mergeCell ref="I147:I149"/>
    <mergeCell ref="J147:J149"/>
    <mergeCell ref="A139:A141"/>
    <mergeCell ref="B139:B141"/>
    <mergeCell ref="C139:C141"/>
    <mergeCell ref="E139:E141"/>
    <mergeCell ref="G139:G141"/>
    <mergeCell ref="A112:A114"/>
    <mergeCell ref="B112:B114"/>
    <mergeCell ref="C112:C114"/>
    <mergeCell ref="E112:E114"/>
    <mergeCell ref="G112:G114"/>
    <mergeCell ref="A133:A135"/>
    <mergeCell ref="B133:B135"/>
    <mergeCell ref="A127:A129"/>
    <mergeCell ref="B127:B129"/>
    <mergeCell ref="C127:C129"/>
    <mergeCell ref="E127:E129"/>
    <mergeCell ref="G127:G129"/>
    <mergeCell ref="A130:A132"/>
    <mergeCell ref="B130:B132"/>
    <mergeCell ref="A124:A126"/>
    <mergeCell ref="B124:B126"/>
    <mergeCell ref="C124:C126"/>
    <mergeCell ref="E124:E126"/>
    <mergeCell ref="G124:G126"/>
    <mergeCell ref="G106:G108"/>
    <mergeCell ref="N139:N141"/>
    <mergeCell ref="I139:I141"/>
    <mergeCell ref="J139:J141"/>
    <mergeCell ref="K139:K141"/>
    <mergeCell ref="L139:L141"/>
    <mergeCell ref="M139:M141"/>
    <mergeCell ref="K109:K111"/>
    <mergeCell ref="L109:L111"/>
    <mergeCell ref="M109:M111"/>
    <mergeCell ref="N109:N111"/>
    <mergeCell ref="I112:I114"/>
    <mergeCell ref="J112:J114"/>
    <mergeCell ref="K112:K114"/>
    <mergeCell ref="L112:L114"/>
    <mergeCell ref="M112:M114"/>
    <mergeCell ref="N112:N114"/>
    <mergeCell ref="J130:J132"/>
    <mergeCell ref="K130:K132"/>
    <mergeCell ref="L130:L132"/>
    <mergeCell ref="I127:I129"/>
    <mergeCell ref="J127:J129"/>
    <mergeCell ref="K127:K129"/>
    <mergeCell ref="L127:L129"/>
    <mergeCell ref="A98:A100"/>
    <mergeCell ref="B98:B100"/>
    <mergeCell ref="C98:C100"/>
    <mergeCell ref="E98:E100"/>
    <mergeCell ref="G98:G100"/>
    <mergeCell ref="I98:I100"/>
    <mergeCell ref="J98:J100"/>
    <mergeCell ref="N106:N108"/>
    <mergeCell ref="A109:A111"/>
    <mergeCell ref="B109:B111"/>
    <mergeCell ref="C109:C111"/>
    <mergeCell ref="E109:E111"/>
    <mergeCell ref="G109:G111"/>
    <mergeCell ref="I109:I111"/>
    <mergeCell ref="J109:J111"/>
    <mergeCell ref="I106:I108"/>
    <mergeCell ref="J106:J108"/>
    <mergeCell ref="K106:K108"/>
    <mergeCell ref="L106:L108"/>
    <mergeCell ref="M106:M108"/>
    <mergeCell ref="A106:A108"/>
    <mergeCell ref="B106:B108"/>
    <mergeCell ref="C106:C108"/>
    <mergeCell ref="E106:E108"/>
    <mergeCell ref="I77:I79"/>
    <mergeCell ref="J77:J79"/>
    <mergeCell ref="K77:K79"/>
    <mergeCell ref="L77:L79"/>
    <mergeCell ref="M77:M79"/>
    <mergeCell ref="N77:N79"/>
    <mergeCell ref="A77:A79"/>
    <mergeCell ref="B77:B79"/>
    <mergeCell ref="C77:C79"/>
    <mergeCell ref="E77:E79"/>
    <mergeCell ref="G77:G79"/>
    <mergeCell ref="H77:H79"/>
    <mergeCell ref="I101:I103"/>
    <mergeCell ref="J101:J103"/>
    <mergeCell ref="K101:K103"/>
    <mergeCell ref="L101:L103"/>
    <mergeCell ref="M101:M103"/>
    <mergeCell ref="N101:N103"/>
    <mergeCell ref="A101:A103"/>
    <mergeCell ref="B101:B103"/>
    <mergeCell ref="C101:C103"/>
    <mergeCell ref="E101:E103"/>
    <mergeCell ref="G101:G103"/>
    <mergeCell ref="I71:I73"/>
    <mergeCell ref="J71:J73"/>
    <mergeCell ref="K71:K73"/>
    <mergeCell ref="L71:L73"/>
    <mergeCell ref="M71:M73"/>
    <mergeCell ref="N71:N73"/>
    <mergeCell ref="A71:A73"/>
    <mergeCell ref="B71:B73"/>
    <mergeCell ref="C71:C73"/>
    <mergeCell ref="E71:E73"/>
    <mergeCell ref="G71:G73"/>
    <mergeCell ref="H71:H73"/>
    <mergeCell ref="I74:I76"/>
    <mergeCell ref="J74:J76"/>
    <mergeCell ref="K74:K76"/>
    <mergeCell ref="L74:L76"/>
    <mergeCell ref="M74:M76"/>
    <mergeCell ref="N74:N76"/>
    <mergeCell ref="A74:A76"/>
    <mergeCell ref="B74:B76"/>
    <mergeCell ref="C74:C76"/>
    <mergeCell ref="E74:E76"/>
    <mergeCell ref="G74:G76"/>
    <mergeCell ref="H74:H76"/>
    <mergeCell ref="I65:I67"/>
    <mergeCell ref="J65:J67"/>
    <mergeCell ref="K65:K67"/>
    <mergeCell ref="L65:L67"/>
    <mergeCell ref="M65:M67"/>
    <mergeCell ref="N65:N67"/>
    <mergeCell ref="A65:A67"/>
    <mergeCell ref="B65:B67"/>
    <mergeCell ref="C65:C67"/>
    <mergeCell ref="E65:E67"/>
    <mergeCell ref="G65:G67"/>
    <mergeCell ref="H65:H67"/>
    <mergeCell ref="I68:I70"/>
    <mergeCell ref="J68:J70"/>
    <mergeCell ref="K68:K70"/>
    <mergeCell ref="L68:L70"/>
    <mergeCell ref="M68:M70"/>
    <mergeCell ref="N68:N70"/>
    <mergeCell ref="A68:A70"/>
    <mergeCell ref="B68:B70"/>
    <mergeCell ref="C68:C70"/>
    <mergeCell ref="E68:E70"/>
    <mergeCell ref="G68:G70"/>
    <mergeCell ref="H68:H70"/>
    <mergeCell ref="I59:I61"/>
    <mergeCell ref="J59:J61"/>
    <mergeCell ref="K59:K61"/>
    <mergeCell ref="L59:L61"/>
    <mergeCell ref="M59:M61"/>
    <mergeCell ref="N59:N61"/>
    <mergeCell ref="A59:A61"/>
    <mergeCell ref="B59:B61"/>
    <mergeCell ref="C59:C61"/>
    <mergeCell ref="E59:E61"/>
    <mergeCell ref="H59:H61"/>
    <mergeCell ref="I62:I64"/>
    <mergeCell ref="J62:J64"/>
    <mergeCell ref="K62:K64"/>
    <mergeCell ref="L62:L64"/>
    <mergeCell ref="M62:M64"/>
    <mergeCell ref="N62:N64"/>
    <mergeCell ref="A62:A64"/>
    <mergeCell ref="B62:B64"/>
    <mergeCell ref="C62:C64"/>
    <mergeCell ref="E62:E64"/>
    <mergeCell ref="G62:G64"/>
    <mergeCell ref="H62:H64"/>
    <mergeCell ref="I50:I52"/>
    <mergeCell ref="J50:J52"/>
    <mergeCell ref="K50:K52"/>
    <mergeCell ref="L50:L52"/>
    <mergeCell ref="M50:M52"/>
    <mergeCell ref="N50:N52"/>
    <mergeCell ref="A50:A52"/>
    <mergeCell ref="B50:B52"/>
    <mergeCell ref="C50:C52"/>
    <mergeCell ref="E50:E52"/>
    <mergeCell ref="G50:G52"/>
    <mergeCell ref="H50:H52"/>
    <mergeCell ref="I53:I55"/>
    <mergeCell ref="J53:J55"/>
    <mergeCell ref="K53:K55"/>
    <mergeCell ref="L53:L55"/>
    <mergeCell ref="M53:M55"/>
    <mergeCell ref="N53:N55"/>
    <mergeCell ref="A53:A55"/>
    <mergeCell ref="B53:B55"/>
    <mergeCell ref="C53:C55"/>
    <mergeCell ref="E53:E55"/>
    <mergeCell ref="G53:G55"/>
    <mergeCell ref="H53:H55"/>
    <mergeCell ref="I44:I46"/>
    <mergeCell ref="J44:J46"/>
    <mergeCell ref="K44:K46"/>
    <mergeCell ref="L44:L46"/>
    <mergeCell ref="M44:M46"/>
    <mergeCell ref="N44:N46"/>
    <mergeCell ref="A44:A46"/>
    <mergeCell ref="B44:B46"/>
    <mergeCell ref="C44:C46"/>
    <mergeCell ref="E44:E46"/>
    <mergeCell ref="G44:G46"/>
    <mergeCell ref="H44:H46"/>
    <mergeCell ref="I47:I49"/>
    <mergeCell ref="J47:J49"/>
    <mergeCell ref="K47:K49"/>
    <mergeCell ref="L47:L49"/>
    <mergeCell ref="M47:M49"/>
    <mergeCell ref="N47:N49"/>
    <mergeCell ref="A47:A49"/>
    <mergeCell ref="B47:B49"/>
    <mergeCell ref="C47:C49"/>
    <mergeCell ref="E47:E49"/>
    <mergeCell ref="G47:G49"/>
    <mergeCell ref="H47:H49"/>
    <mergeCell ref="I38:I40"/>
    <mergeCell ref="J38:J40"/>
    <mergeCell ref="K38:K40"/>
    <mergeCell ref="L38:L40"/>
    <mergeCell ref="M38:M40"/>
    <mergeCell ref="N38:N40"/>
    <mergeCell ref="A38:A40"/>
    <mergeCell ref="B38:B40"/>
    <mergeCell ref="C38:C40"/>
    <mergeCell ref="E38:E40"/>
    <mergeCell ref="G38:G40"/>
    <mergeCell ref="H38:H40"/>
    <mergeCell ref="I41:I43"/>
    <mergeCell ref="J41:J43"/>
    <mergeCell ref="K41:K43"/>
    <mergeCell ref="L41:L43"/>
    <mergeCell ref="M41:M43"/>
    <mergeCell ref="N41:N43"/>
    <mergeCell ref="A41:A43"/>
    <mergeCell ref="B41:B43"/>
    <mergeCell ref="C41:C43"/>
    <mergeCell ref="E41:E43"/>
    <mergeCell ref="G41:G43"/>
    <mergeCell ref="H41:H43"/>
    <mergeCell ref="I32:I34"/>
    <mergeCell ref="J32:J34"/>
    <mergeCell ref="K32:K34"/>
    <mergeCell ref="L32:L34"/>
    <mergeCell ref="M32:M34"/>
    <mergeCell ref="N32:N34"/>
    <mergeCell ref="A32:A34"/>
    <mergeCell ref="B32:B34"/>
    <mergeCell ref="C32:C34"/>
    <mergeCell ref="E32:E34"/>
    <mergeCell ref="G32:G34"/>
    <mergeCell ref="H32:H34"/>
    <mergeCell ref="I35:I37"/>
    <mergeCell ref="J35:J37"/>
    <mergeCell ref="K35:K37"/>
    <mergeCell ref="L35:L37"/>
    <mergeCell ref="M35:M37"/>
    <mergeCell ref="N35:N37"/>
    <mergeCell ref="A35:A37"/>
    <mergeCell ref="B35:B37"/>
    <mergeCell ref="C35:C37"/>
    <mergeCell ref="E35:E37"/>
    <mergeCell ref="G35:G37"/>
    <mergeCell ref="H35:H37"/>
    <mergeCell ref="I26:I28"/>
    <mergeCell ref="J26:J28"/>
    <mergeCell ref="K26:K28"/>
    <mergeCell ref="L26:L28"/>
    <mergeCell ref="M26:M28"/>
    <mergeCell ref="N26:N28"/>
    <mergeCell ref="A26:A28"/>
    <mergeCell ref="B26:B28"/>
    <mergeCell ref="C26:C28"/>
    <mergeCell ref="E26:E28"/>
    <mergeCell ref="G26:G28"/>
    <mergeCell ref="H26:H28"/>
    <mergeCell ref="I29:I31"/>
    <mergeCell ref="J29:J31"/>
    <mergeCell ref="K29:K31"/>
    <mergeCell ref="L29:L31"/>
    <mergeCell ref="M29:M31"/>
    <mergeCell ref="N29:N31"/>
    <mergeCell ref="A29:A31"/>
    <mergeCell ref="B29:B31"/>
    <mergeCell ref="C29:C31"/>
    <mergeCell ref="E29:E31"/>
    <mergeCell ref="G29:G31"/>
    <mergeCell ref="H29:H31"/>
    <mergeCell ref="A23:A25"/>
    <mergeCell ref="B23:B25"/>
    <mergeCell ref="C23:C25"/>
    <mergeCell ref="E23:E25"/>
    <mergeCell ref="G23:G25"/>
    <mergeCell ref="H23:H25"/>
    <mergeCell ref="I17:I19"/>
    <mergeCell ref="J17:J19"/>
    <mergeCell ref="K17:K19"/>
    <mergeCell ref="A17:A19"/>
    <mergeCell ref="B17:B19"/>
    <mergeCell ref="C17:C19"/>
    <mergeCell ref="E17:E19"/>
    <mergeCell ref="G17:G19"/>
    <mergeCell ref="H17:H19"/>
    <mergeCell ref="A20:A22"/>
    <mergeCell ref="B20:B22"/>
    <mergeCell ref="C20:C22"/>
    <mergeCell ref="E20:E22"/>
    <mergeCell ref="H20:H22"/>
    <mergeCell ref="I20:I22"/>
    <mergeCell ref="J20:J22"/>
    <mergeCell ref="K20:K22"/>
    <mergeCell ref="P9:Q9"/>
    <mergeCell ref="R9:S9"/>
    <mergeCell ref="T9:U9"/>
    <mergeCell ref="Y9:AB9"/>
    <mergeCell ref="I10:L10"/>
    <mergeCell ref="I23:I25"/>
    <mergeCell ref="J23:J25"/>
    <mergeCell ref="K23:K25"/>
    <mergeCell ref="L23:L25"/>
    <mergeCell ref="M23:M25"/>
    <mergeCell ref="N23:N25"/>
    <mergeCell ref="L17:L19"/>
    <mergeCell ref="M17:M19"/>
    <mergeCell ref="N17:N19"/>
    <mergeCell ref="L20:L22"/>
    <mergeCell ref="M20:M22"/>
    <mergeCell ref="N20:N22"/>
    <mergeCell ref="A4:B4"/>
    <mergeCell ref="C4:N4"/>
    <mergeCell ref="A5:B5"/>
    <mergeCell ref="C5:N5"/>
    <mergeCell ref="A6:B6"/>
    <mergeCell ref="C6:N6"/>
    <mergeCell ref="A1:B1"/>
    <mergeCell ref="C1:N1"/>
    <mergeCell ref="A2:B2"/>
    <mergeCell ref="C2:N2"/>
    <mergeCell ref="A3:B3"/>
    <mergeCell ref="C3:N3"/>
    <mergeCell ref="AB216:AB218"/>
    <mergeCell ref="A7:B7"/>
    <mergeCell ref="C7:K7"/>
    <mergeCell ref="L7:N7"/>
    <mergeCell ref="A8:B8"/>
    <mergeCell ref="C8:H8"/>
    <mergeCell ref="I8:U8"/>
    <mergeCell ref="I14:I16"/>
    <mergeCell ref="J14:J16"/>
    <mergeCell ref="K14:K16"/>
    <mergeCell ref="L14:L16"/>
    <mergeCell ref="M14:M16"/>
    <mergeCell ref="N14:N16"/>
    <mergeCell ref="A14:A16"/>
    <mergeCell ref="B14:B16"/>
    <mergeCell ref="C14:C16"/>
    <mergeCell ref="E14:E16"/>
    <mergeCell ref="G14:G16"/>
    <mergeCell ref="H14:H16"/>
    <mergeCell ref="AA8:AB8"/>
    <mergeCell ref="A9:A10"/>
    <mergeCell ref="B9:B10"/>
    <mergeCell ref="C9:D9"/>
    <mergeCell ref="E9:N9"/>
    <mergeCell ref="M136:M138"/>
    <mergeCell ref="N136:N138"/>
    <mergeCell ref="A136:A138"/>
    <mergeCell ref="B136:B138"/>
    <mergeCell ref="C136:C138"/>
    <mergeCell ref="E136:E138"/>
    <mergeCell ref="I136:I138"/>
    <mergeCell ref="J136:J138"/>
    <mergeCell ref="K136:K138"/>
    <mergeCell ref="L136:L138"/>
  </mergeCells>
  <pageMargins left="0.7" right="0.7" top="0.75" bottom="0.75" header="0.3" footer="0.3"/>
  <pageSetup paperSize="8" scale="51" orientation="landscape" r:id="rId1"/>
  <rowBreaks count="3" manualBreakCount="3">
    <brk id="79" max="45" man="1"/>
    <brk id="142" max="45" man="1"/>
    <brk id="218" max="4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4"/>
  <sheetViews>
    <sheetView view="pageBreakPreview" topLeftCell="G1" zoomScale="80" zoomScaleNormal="100" zoomScaleSheetLayoutView="80" workbookViewId="0">
      <selection activeCell="T7" sqref="T7"/>
    </sheetView>
  </sheetViews>
  <sheetFormatPr defaultColWidth="9.109375" defaultRowHeight="10.199999999999999" x14ac:dyDescent="0.2"/>
  <cols>
    <col min="1" max="1" width="4" style="9" customWidth="1"/>
    <col min="2" max="2" width="16" style="8" customWidth="1"/>
    <col min="3" max="3" width="4.88671875" style="8" customWidth="1"/>
    <col min="4" max="4" width="4.5546875" style="24" customWidth="1"/>
    <col min="5" max="5" width="14" style="8" customWidth="1"/>
    <col min="6" max="6" width="5.88671875" style="8" customWidth="1"/>
    <col min="7" max="7" width="11.6640625" style="8" bestFit="1" customWidth="1"/>
    <col min="8" max="8" width="13.88671875" style="25" bestFit="1" customWidth="1"/>
    <col min="9" max="9" width="8.5546875" style="8" bestFit="1" customWidth="1"/>
    <col min="10" max="10" width="15" style="8" bestFit="1" customWidth="1"/>
    <col min="11" max="12" width="5.21875" style="8" bestFit="1" customWidth="1"/>
    <col min="13" max="14" width="9.109375" style="8"/>
    <col min="15" max="15" width="6" style="26" bestFit="1" customWidth="1"/>
    <col min="16" max="21" width="9.5546875" style="8" bestFit="1" customWidth="1"/>
    <col min="22" max="22" width="14.109375" style="8" bestFit="1" customWidth="1"/>
    <col min="23" max="23" width="9.5546875" style="8" bestFit="1" customWidth="1"/>
    <col min="24" max="24" width="9.5546875" style="9" bestFit="1" customWidth="1"/>
    <col min="25" max="25" width="9.33203125" style="9" bestFit="1" customWidth="1"/>
    <col min="26" max="26" width="8.44140625" style="9" bestFit="1" customWidth="1"/>
    <col min="27" max="27" width="8.33203125" style="9" bestFit="1" customWidth="1"/>
    <col min="28" max="28" width="13.88671875" style="8" bestFit="1" customWidth="1"/>
    <col min="29" max="45" width="9.109375" style="7"/>
    <col min="46" max="16384" width="9.109375" style="8"/>
  </cols>
  <sheetData>
    <row r="1" spans="1:45" x14ac:dyDescent="0.2">
      <c r="O1" s="29"/>
      <c r="P1" s="30"/>
      <c r="Q1" s="30"/>
      <c r="R1" s="30"/>
      <c r="S1" s="30"/>
      <c r="T1" s="30"/>
      <c r="U1" s="30"/>
      <c r="V1" s="7"/>
    </row>
    <row r="2" spans="1:45" x14ac:dyDescent="0.2">
      <c r="A2" s="2328" t="s">
        <v>33</v>
      </c>
      <c r="B2" s="2329"/>
      <c r="C2" s="2330" t="s">
        <v>34</v>
      </c>
      <c r="D2" s="2331"/>
      <c r="E2" s="2331"/>
      <c r="F2" s="2331"/>
      <c r="G2" s="2331"/>
      <c r="H2" s="2331"/>
      <c r="I2" s="2331"/>
      <c r="J2" s="2331"/>
      <c r="K2" s="2331"/>
      <c r="L2" s="2331"/>
      <c r="M2" s="2331"/>
      <c r="N2" s="2331"/>
      <c r="O2" s="5"/>
      <c r="P2" s="5"/>
      <c r="Q2" s="5"/>
      <c r="R2" s="6"/>
      <c r="S2" s="6"/>
      <c r="T2" s="6"/>
      <c r="U2" s="6"/>
      <c r="V2" s="7"/>
    </row>
    <row r="3" spans="1:45" x14ac:dyDescent="0.2">
      <c r="A3" s="2332" t="s">
        <v>35</v>
      </c>
      <c r="B3" s="2329"/>
      <c r="C3" s="2333" t="s">
        <v>523</v>
      </c>
      <c r="D3" s="2334"/>
      <c r="E3" s="2334"/>
      <c r="F3" s="2334"/>
      <c r="G3" s="2334"/>
      <c r="H3" s="2334"/>
      <c r="I3" s="2334"/>
      <c r="J3" s="2334"/>
      <c r="K3" s="2334"/>
      <c r="L3" s="2334"/>
      <c r="M3" s="2334"/>
      <c r="N3" s="2334"/>
      <c r="O3" s="10"/>
      <c r="P3" s="10"/>
      <c r="Q3" s="10"/>
      <c r="R3" s="6"/>
      <c r="S3" s="6"/>
      <c r="T3" s="6"/>
      <c r="U3" s="6"/>
      <c r="V3" s="7"/>
    </row>
    <row r="4" spans="1:45" x14ac:dyDescent="0.2">
      <c r="A4" s="2332" t="s">
        <v>36</v>
      </c>
      <c r="B4" s="2329"/>
      <c r="C4" s="2333" t="s">
        <v>37</v>
      </c>
      <c r="D4" s="2334"/>
      <c r="E4" s="2334"/>
      <c r="F4" s="2334"/>
      <c r="G4" s="2334"/>
      <c r="H4" s="2334"/>
      <c r="I4" s="2334"/>
      <c r="J4" s="2334"/>
      <c r="K4" s="2334"/>
      <c r="L4" s="2334"/>
      <c r="M4" s="2334"/>
      <c r="N4" s="2334"/>
      <c r="O4" s="10"/>
      <c r="P4" s="10"/>
      <c r="Q4" s="10"/>
      <c r="R4" s="6"/>
      <c r="S4" s="6"/>
      <c r="T4" s="6"/>
      <c r="U4" s="6"/>
      <c r="V4" s="7"/>
    </row>
    <row r="5" spans="1:45" x14ac:dyDescent="0.2">
      <c r="A5" s="2332" t="s">
        <v>38</v>
      </c>
      <c r="B5" s="2329"/>
      <c r="C5" s="2333" t="s">
        <v>32</v>
      </c>
      <c r="D5" s="2334"/>
      <c r="E5" s="2334"/>
      <c r="F5" s="2334"/>
      <c r="G5" s="2334"/>
      <c r="H5" s="2334"/>
      <c r="I5" s="2334"/>
      <c r="J5" s="2334"/>
      <c r="K5" s="2334"/>
      <c r="L5" s="2334"/>
      <c r="M5" s="2334"/>
      <c r="N5" s="2334"/>
      <c r="O5" s="10"/>
      <c r="P5" s="10"/>
      <c r="Q5" s="10"/>
      <c r="R5" s="6"/>
      <c r="S5" s="6"/>
      <c r="T5" s="6"/>
      <c r="U5" s="6"/>
      <c r="V5" s="7"/>
    </row>
    <row r="6" spans="1:45" x14ac:dyDescent="0.2">
      <c r="A6" s="2332" t="s">
        <v>39</v>
      </c>
      <c r="B6" s="2329"/>
      <c r="C6" s="2335" t="s">
        <v>522</v>
      </c>
      <c r="D6" s="2336"/>
      <c r="E6" s="2336"/>
      <c r="F6" s="2336"/>
      <c r="G6" s="2336"/>
      <c r="H6" s="2336"/>
      <c r="I6" s="2336"/>
      <c r="J6" s="2336"/>
      <c r="K6" s="2336"/>
      <c r="L6" s="2336"/>
      <c r="M6" s="2336"/>
      <c r="N6" s="2336"/>
      <c r="O6" s="11"/>
      <c r="P6" s="11"/>
      <c r="Q6" s="11"/>
      <c r="R6" s="12"/>
      <c r="S6" s="12"/>
      <c r="T6" s="12"/>
      <c r="U6" s="12"/>
      <c r="V6" s="7"/>
    </row>
    <row r="7" spans="1:45" x14ac:dyDescent="0.2">
      <c r="A7" s="2332" t="s">
        <v>40</v>
      </c>
      <c r="B7" s="2329"/>
      <c r="C7" s="2337" t="s">
        <v>41</v>
      </c>
      <c r="D7" s="2338"/>
      <c r="E7" s="2338"/>
      <c r="F7" s="2338"/>
      <c r="G7" s="2338"/>
      <c r="H7" s="2338"/>
      <c r="I7" s="2338"/>
      <c r="J7" s="2338"/>
      <c r="K7" s="2338"/>
      <c r="L7" s="2338"/>
      <c r="M7" s="2338"/>
      <c r="N7" s="2338"/>
      <c r="O7" s="13"/>
      <c r="P7" s="13"/>
      <c r="Q7" s="13"/>
      <c r="R7" s="12"/>
      <c r="S7" s="12"/>
      <c r="T7" s="12"/>
      <c r="U7" s="14"/>
      <c r="V7" s="7"/>
    </row>
    <row r="8" spans="1:45" x14ac:dyDescent="0.2">
      <c r="A8" s="2332" t="s">
        <v>42</v>
      </c>
      <c r="B8" s="2329"/>
      <c r="C8" s="2339" t="s">
        <v>43</v>
      </c>
      <c r="D8" s="2339"/>
      <c r="E8" s="2339"/>
      <c r="F8" s="2339"/>
      <c r="G8" s="2339"/>
      <c r="H8" s="2339"/>
      <c r="I8" s="2339"/>
      <c r="J8" s="2339"/>
      <c r="K8" s="2339"/>
      <c r="L8" s="2340" t="s">
        <v>705</v>
      </c>
      <c r="M8" s="2341"/>
      <c r="N8" s="2341"/>
      <c r="O8" s="13"/>
      <c r="P8" s="13"/>
      <c r="Q8" s="13"/>
      <c r="R8" s="12"/>
      <c r="S8" s="12"/>
      <c r="T8" s="12"/>
      <c r="U8" s="12"/>
      <c r="V8" s="7"/>
    </row>
    <row r="9" spans="1:45" ht="10.8" thickBot="1" x14ac:dyDescent="0.25">
      <c r="A9" s="2342" t="s">
        <v>44</v>
      </c>
      <c r="B9" s="2343"/>
      <c r="C9" s="2344" t="s">
        <v>45</v>
      </c>
      <c r="D9" s="2345"/>
      <c r="E9" s="2345"/>
      <c r="F9" s="2345"/>
      <c r="G9" s="2345"/>
      <c r="H9" s="2345"/>
      <c r="I9" s="2346"/>
      <c r="J9" s="2346"/>
      <c r="K9" s="2346"/>
      <c r="L9" s="2346"/>
      <c r="M9" s="2346"/>
      <c r="N9" s="2346"/>
      <c r="O9" s="2347"/>
      <c r="P9" s="2347"/>
      <c r="Q9" s="2347"/>
      <c r="R9" s="2347"/>
      <c r="S9" s="2347"/>
      <c r="T9" s="2347"/>
      <c r="U9" s="2347"/>
      <c r="V9" s="15"/>
      <c r="W9" s="15"/>
      <c r="X9" s="16"/>
      <c r="Y9" s="16"/>
      <c r="Z9" s="16"/>
      <c r="AA9" s="2348" t="s">
        <v>23</v>
      </c>
      <c r="AB9" s="2348"/>
      <c r="AE9" s="7" t="e">
        <f>#REF!-#REF!</f>
        <v>#REF!</v>
      </c>
    </row>
    <row r="10" spans="1:45" ht="11.4" thickTop="1" x14ac:dyDescent="0.2">
      <c r="A10" s="2358" t="s">
        <v>46</v>
      </c>
      <c r="B10" s="2360" t="s">
        <v>47</v>
      </c>
      <c r="C10" s="2349" t="s">
        <v>48</v>
      </c>
      <c r="D10" s="2350"/>
      <c r="E10" s="2349" t="s">
        <v>49</v>
      </c>
      <c r="F10" s="2351"/>
      <c r="G10" s="2351"/>
      <c r="H10" s="2351"/>
      <c r="I10" s="2351"/>
      <c r="J10" s="2351"/>
      <c r="K10" s="2351"/>
      <c r="L10" s="2351"/>
      <c r="M10" s="2351"/>
      <c r="N10" s="2351"/>
      <c r="O10" s="1867"/>
      <c r="P10" s="2353" t="s">
        <v>50</v>
      </c>
      <c r="Q10" s="2354"/>
      <c r="R10" s="2349" t="s">
        <v>51</v>
      </c>
      <c r="S10" s="2350"/>
      <c r="T10" s="2349" t="s">
        <v>52</v>
      </c>
      <c r="U10" s="2350"/>
      <c r="V10" s="2349" t="s">
        <v>53</v>
      </c>
      <c r="W10" s="2351"/>
      <c r="X10" s="2350"/>
      <c r="Y10" s="2349" t="s">
        <v>54</v>
      </c>
      <c r="Z10" s="2351"/>
      <c r="AA10" s="2351"/>
      <c r="AB10" s="2352"/>
    </row>
    <row r="11" spans="1:45" ht="75.599999999999994" x14ac:dyDescent="0.25">
      <c r="A11" s="2359"/>
      <c r="B11" s="2361"/>
      <c r="C11" s="1868" t="s">
        <v>5</v>
      </c>
      <c r="D11" s="1869" t="s">
        <v>55</v>
      </c>
      <c r="E11" s="1868" t="s">
        <v>56</v>
      </c>
      <c r="F11" s="1868" t="s">
        <v>57</v>
      </c>
      <c r="G11" s="1870" t="s">
        <v>58</v>
      </c>
      <c r="H11" s="1870" t="s">
        <v>782</v>
      </c>
      <c r="I11" s="2355" t="s">
        <v>59</v>
      </c>
      <c r="J11" s="2356"/>
      <c r="K11" s="2356"/>
      <c r="L11" s="2357"/>
      <c r="M11" s="1868" t="s">
        <v>60</v>
      </c>
      <c r="N11" s="1868" t="s">
        <v>61</v>
      </c>
      <c r="O11" s="1868" t="s">
        <v>62</v>
      </c>
      <c r="P11" s="1868" t="s">
        <v>63</v>
      </c>
      <c r="Q11" s="1868" t="s">
        <v>64</v>
      </c>
      <c r="R11" s="1868" t="s">
        <v>65</v>
      </c>
      <c r="S11" s="1868" t="s">
        <v>66</v>
      </c>
      <c r="T11" s="1868" t="s">
        <v>67</v>
      </c>
      <c r="U11" s="1868" t="s">
        <v>64</v>
      </c>
      <c r="V11" s="1868" t="s">
        <v>68</v>
      </c>
      <c r="W11" s="1868" t="s">
        <v>69</v>
      </c>
      <c r="X11" s="1868" t="s">
        <v>70</v>
      </c>
      <c r="Y11" s="1868" t="s">
        <v>71</v>
      </c>
      <c r="Z11" s="1868" t="s">
        <v>72</v>
      </c>
      <c r="AA11" s="1868" t="s">
        <v>73</v>
      </c>
      <c r="AB11" s="1871" t="s">
        <v>74</v>
      </c>
    </row>
    <row r="12" spans="1:45" ht="20.399999999999999" x14ac:dyDescent="0.2">
      <c r="A12" s="31"/>
      <c r="B12" s="32"/>
      <c r="C12" s="33"/>
      <c r="D12" s="34"/>
      <c r="E12" s="35"/>
      <c r="F12" s="33"/>
      <c r="G12" s="33"/>
      <c r="H12" s="36"/>
      <c r="I12" s="35" t="s">
        <v>75</v>
      </c>
      <c r="J12" s="37" t="s">
        <v>76</v>
      </c>
      <c r="K12" s="38" t="s">
        <v>77</v>
      </c>
      <c r="L12" s="39" t="s">
        <v>78</v>
      </c>
      <c r="M12" s="35"/>
      <c r="N12" s="40"/>
      <c r="O12" s="41"/>
      <c r="P12" s="42" t="s">
        <v>79</v>
      </c>
      <c r="Q12" s="42" t="s">
        <v>80</v>
      </c>
      <c r="R12" s="42" t="s">
        <v>81</v>
      </c>
      <c r="S12" s="42" t="s">
        <v>82</v>
      </c>
      <c r="T12" s="42" t="s">
        <v>83</v>
      </c>
      <c r="U12" s="42" t="s">
        <v>84</v>
      </c>
      <c r="V12" s="43"/>
      <c r="W12" s="42" t="s">
        <v>84</v>
      </c>
      <c r="X12" s="42" t="s">
        <v>85</v>
      </c>
      <c r="Y12" s="43" t="s">
        <v>86</v>
      </c>
      <c r="Z12" s="43" t="s">
        <v>87</v>
      </c>
      <c r="AA12" s="43" t="s">
        <v>88</v>
      </c>
      <c r="AB12" s="79"/>
    </row>
    <row r="13" spans="1:45" x14ac:dyDescent="0.2">
      <c r="A13" s="51"/>
      <c r="B13" s="52" t="s">
        <v>294</v>
      </c>
      <c r="C13" s="52"/>
      <c r="D13" s="53"/>
      <c r="E13" s="52"/>
      <c r="F13" s="52"/>
      <c r="G13" s="52"/>
      <c r="H13" s="52"/>
      <c r="I13" s="52"/>
      <c r="J13" s="52"/>
      <c r="K13" s="52"/>
      <c r="L13" s="52"/>
      <c r="M13" s="52"/>
      <c r="N13" s="54"/>
      <c r="O13" s="55"/>
      <c r="P13" s="27"/>
      <c r="Q13" s="27"/>
      <c r="R13" s="27"/>
      <c r="S13" s="27"/>
      <c r="T13" s="27"/>
      <c r="U13" s="27"/>
      <c r="V13" s="56"/>
      <c r="W13" s="27"/>
      <c r="X13" s="48"/>
      <c r="Y13" s="48"/>
      <c r="Z13" s="48"/>
      <c r="AA13" s="48"/>
      <c r="AB13" s="80"/>
    </row>
    <row r="14" spans="1:45" ht="13.2" x14ac:dyDescent="0.25">
      <c r="B14" s="57"/>
      <c r="H14" s="8"/>
      <c r="N14" s="58"/>
      <c r="O14" s="55"/>
      <c r="P14" s="27"/>
      <c r="Q14" s="27"/>
      <c r="R14" s="27"/>
      <c r="S14" s="27"/>
      <c r="T14" s="27"/>
      <c r="U14" s="27"/>
      <c r="V14" s="27"/>
      <c r="W14" s="27"/>
      <c r="X14" s="48"/>
      <c r="Y14" s="48"/>
      <c r="Z14" s="48"/>
      <c r="AA14" s="48"/>
      <c r="AB14" s="80"/>
    </row>
    <row r="15" spans="1:45" x14ac:dyDescent="0.2">
      <c r="A15" s="82"/>
      <c r="B15" s="83" t="s">
        <v>525</v>
      </c>
      <c r="H15" s="8"/>
      <c r="AC15" s="8"/>
      <c r="AD15" s="8"/>
      <c r="AE15" s="8"/>
      <c r="AF15" s="8"/>
      <c r="AG15" s="8"/>
      <c r="AH15" s="8"/>
      <c r="AI15" s="8"/>
      <c r="AJ15" s="8"/>
      <c r="AK15" s="8"/>
      <c r="AL15" s="8"/>
      <c r="AM15" s="8"/>
      <c r="AN15" s="8"/>
      <c r="AO15" s="8"/>
      <c r="AP15" s="8"/>
      <c r="AQ15" s="8"/>
      <c r="AR15" s="8"/>
      <c r="AS15" s="8"/>
    </row>
    <row r="16" spans="1:45" ht="11.4" x14ac:dyDescent="0.2">
      <c r="A16" s="84"/>
      <c r="B16" s="675" t="s">
        <v>526</v>
      </c>
      <c r="C16" s="85"/>
      <c r="D16" s="86"/>
      <c r="E16" s="85"/>
      <c r="F16" s="85"/>
      <c r="G16" s="85"/>
      <c r="H16" s="87">
        <v>0</v>
      </c>
      <c r="I16" s="87">
        <v>0</v>
      </c>
      <c r="J16" s="87">
        <v>0</v>
      </c>
      <c r="K16" s="87">
        <v>0</v>
      </c>
      <c r="L16" s="87">
        <v>0</v>
      </c>
      <c r="M16" s="87"/>
      <c r="N16" s="87"/>
      <c r="O16" s="87"/>
      <c r="P16" s="87"/>
      <c r="Q16" s="87"/>
      <c r="R16" s="87"/>
      <c r="S16" s="87"/>
      <c r="T16" s="87"/>
      <c r="U16" s="87"/>
      <c r="V16" s="87"/>
      <c r="W16" s="87"/>
      <c r="X16" s="88"/>
      <c r="Y16" s="88"/>
      <c r="Z16" s="88"/>
      <c r="AA16" s="88"/>
      <c r="AB16" s="87"/>
      <c r="AC16" s="8"/>
      <c r="AD16" s="8"/>
      <c r="AE16" s="8"/>
      <c r="AF16" s="8"/>
      <c r="AG16" s="8"/>
      <c r="AH16" s="8"/>
      <c r="AI16" s="8"/>
      <c r="AJ16" s="8"/>
      <c r="AK16" s="8"/>
      <c r="AL16" s="8"/>
      <c r="AM16" s="8"/>
      <c r="AN16" s="8"/>
      <c r="AO16" s="8"/>
      <c r="AP16" s="8"/>
      <c r="AQ16" s="8"/>
      <c r="AR16" s="8"/>
      <c r="AS16" s="8"/>
    </row>
    <row r="17" spans="1:46" ht="11.4" x14ac:dyDescent="0.2">
      <c r="A17" s="82"/>
      <c r="B17" s="674" t="s">
        <v>527</v>
      </c>
      <c r="H17" s="8"/>
      <c r="AC17" s="8"/>
      <c r="AD17" s="8"/>
      <c r="AE17" s="8"/>
      <c r="AF17" s="8"/>
      <c r="AG17" s="8"/>
      <c r="AH17" s="8"/>
      <c r="AI17" s="8"/>
      <c r="AJ17" s="8"/>
      <c r="AK17" s="8"/>
      <c r="AL17" s="8"/>
      <c r="AM17" s="8"/>
      <c r="AN17" s="8"/>
      <c r="AO17" s="8"/>
      <c r="AP17" s="8"/>
      <c r="AQ17" s="8"/>
      <c r="AR17" s="8"/>
      <c r="AS17" s="8"/>
    </row>
    <row r="18" spans="1:46" s="75" customFormat="1" ht="11.4" customHeight="1" x14ac:dyDescent="0.2">
      <c r="A18" s="2316">
        <v>1</v>
      </c>
      <c r="B18" s="2313" t="s">
        <v>404</v>
      </c>
      <c r="C18" s="2316" t="s">
        <v>3</v>
      </c>
      <c r="D18" s="2316">
        <v>1</v>
      </c>
      <c r="E18" s="2316" t="s">
        <v>524</v>
      </c>
      <c r="F18" s="2316"/>
      <c r="G18" s="2307">
        <v>44442813.770000003</v>
      </c>
      <c r="H18" s="1397">
        <v>11000000</v>
      </c>
      <c r="I18" s="2322"/>
      <c r="J18" s="2322">
        <f>H18</f>
        <v>11000000</v>
      </c>
      <c r="K18" s="2322"/>
      <c r="L18" s="2297"/>
      <c r="M18" s="2297" t="s">
        <v>96</v>
      </c>
      <c r="N18" s="2297" t="s">
        <v>91</v>
      </c>
      <c r="O18" s="44" t="s">
        <v>92</v>
      </c>
      <c r="P18" s="45">
        <v>43381</v>
      </c>
      <c r="Q18" s="17">
        <f>P18+7</f>
        <v>43388</v>
      </c>
      <c r="R18" s="47">
        <f>Q18+7</f>
        <v>43395</v>
      </c>
      <c r="S18" s="47">
        <f>R18+30</f>
        <v>43425</v>
      </c>
      <c r="T18" s="47">
        <f>S18+14</f>
        <v>43439</v>
      </c>
      <c r="U18" s="47">
        <f>T18+7</f>
        <v>43446</v>
      </c>
      <c r="V18" s="2319">
        <v>43067111.5</v>
      </c>
      <c r="W18" s="47">
        <f>U18+14</f>
        <v>43460</v>
      </c>
      <c r="X18" s="47">
        <f>W18+14</f>
        <v>43474</v>
      </c>
      <c r="Y18" s="47">
        <f>X18+7</f>
        <v>43481</v>
      </c>
      <c r="Z18" s="47">
        <f>Y18+90</f>
        <v>43571</v>
      </c>
      <c r="AA18" s="47">
        <f>Z18+365</f>
        <v>43936</v>
      </c>
      <c r="AB18" s="2303">
        <v>13587860.699999999</v>
      </c>
      <c r="AC18" s="7"/>
      <c r="AD18" s="7"/>
      <c r="AE18" s="7"/>
      <c r="AF18" s="7"/>
      <c r="AG18" s="7"/>
      <c r="AH18" s="7"/>
      <c r="AI18" s="7"/>
      <c r="AJ18" s="7"/>
      <c r="AK18" s="7"/>
      <c r="AL18" s="7"/>
      <c r="AM18" s="7"/>
      <c r="AN18" s="7"/>
      <c r="AO18" s="7"/>
      <c r="AP18" s="7"/>
      <c r="AQ18" s="7"/>
      <c r="AR18" s="7"/>
      <c r="AS18" s="7"/>
      <c r="AT18" s="81"/>
    </row>
    <row r="19" spans="1:46" ht="12" x14ac:dyDescent="0.2">
      <c r="A19" s="2317"/>
      <c r="B19" s="2314"/>
      <c r="C19" s="2317"/>
      <c r="D19" s="2317"/>
      <c r="E19" s="2317"/>
      <c r="F19" s="2317"/>
      <c r="G19" s="2308"/>
      <c r="H19" s="1398"/>
      <c r="I19" s="2323"/>
      <c r="J19" s="2323"/>
      <c r="K19" s="2323"/>
      <c r="L19" s="2298"/>
      <c r="M19" s="2298"/>
      <c r="N19" s="2298"/>
      <c r="O19" s="44" t="s">
        <v>93</v>
      </c>
      <c r="P19" s="45"/>
      <c r="Q19" s="17"/>
      <c r="R19" s="47"/>
      <c r="S19" s="47"/>
      <c r="T19" s="47"/>
      <c r="U19" s="47"/>
      <c r="V19" s="2320"/>
      <c r="W19" s="47"/>
      <c r="X19" s="47"/>
      <c r="Y19" s="47"/>
      <c r="Z19" s="1061">
        <v>44376</v>
      </c>
      <c r="AA19" s="1061">
        <f>Z19+365</f>
        <v>44741</v>
      </c>
      <c r="AB19" s="2304"/>
    </row>
    <row r="20" spans="1:46" s="75" customFormat="1" ht="11.4" x14ac:dyDescent="0.2">
      <c r="A20" s="2318"/>
      <c r="B20" s="2315"/>
      <c r="C20" s="2318"/>
      <c r="D20" s="2318"/>
      <c r="E20" s="2318"/>
      <c r="F20" s="2318"/>
      <c r="G20" s="2309"/>
      <c r="H20" s="1399"/>
      <c r="I20" s="2324"/>
      <c r="J20" s="2324"/>
      <c r="K20" s="2324"/>
      <c r="L20" s="2299"/>
      <c r="M20" s="2299"/>
      <c r="N20" s="2299"/>
      <c r="O20" s="44" t="s">
        <v>94</v>
      </c>
      <c r="P20" s="20">
        <v>43381</v>
      </c>
      <c r="Q20" s="21">
        <v>43388</v>
      </c>
      <c r="R20" s="19">
        <v>43423</v>
      </c>
      <c r="S20" s="19">
        <v>43439</v>
      </c>
      <c r="T20" s="22">
        <v>43451</v>
      </c>
      <c r="U20" s="22">
        <v>43466</v>
      </c>
      <c r="V20" s="2321"/>
      <c r="W20" s="22">
        <v>43475</v>
      </c>
      <c r="X20" s="91">
        <v>43479</v>
      </c>
      <c r="Y20" s="93">
        <v>43561</v>
      </c>
      <c r="Z20" s="9"/>
      <c r="AA20" s="9"/>
      <c r="AB20" s="2305"/>
      <c r="AC20" s="7"/>
      <c r="AD20" s="7"/>
      <c r="AE20" s="7"/>
      <c r="AF20" s="7"/>
      <c r="AG20" s="7"/>
      <c r="AH20" s="7"/>
      <c r="AI20" s="7"/>
      <c r="AJ20" s="7"/>
      <c r="AK20" s="7"/>
      <c r="AL20" s="7"/>
      <c r="AM20" s="7"/>
      <c r="AN20" s="7"/>
      <c r="AO20" s="7"/>
      <c r="AP20" s="7"/>
      <c r="AQ20" s="7"/>
      <c r="AR20" s="7"/>
      <c r="AS20" s="7"/>
      <c r="AT20" s="81"/>
    </row>
    <row r="21" spans="1:46" ht="10.199999999999999" customHeight="1" x14ac:dyDescent="0.2">
      <c r="A21" s="2306">
        <v>2</v>
      </c>
      <c r="B21" s="2313" t="s">
        <v>608</v>
      </c>
      <c r="C21" s="2306" t="s">
        <v>3</v>
      </c>
      <c r="D21" s="2306">
        <v>1</v>
      </c>
      <c r="E21" s="2316" t="s">
        <v>878</v>
      </c>
      <c r="F21" s="2306"/>
      <c r="G21" s="2307">
        <v>1800000</v>
      </c>
      <c r="H21" s="1400">
        <v>1585000</v>
      </c>
      <c r="I21" s="2310"/>
      <c r="J21" s="2310">
        <f>H21</f>
        <v>1585000</v>
      </c>
      <c r="K21" s="2310"/>
      <c r="L21" s="2294"/>
      <c r="M21" s="2297" t="s">
        <v>96</v>
      </c>
      <c r="N21" s="2297" t="s">
        <v>91</v>
      </c>
      <c r="O21" s="44" t="s">
        <v>92</v>
      </c>
      <c r="P21" s="45">
        <v>43773</v>
      </c>
      <c r="Q21" s="46">
        <f>P21+7</f>
        <v>43780</v>
      </c>
      <c r="R21" s="47">
        <f>Q21+7</f>
        <v>43787</v>
      </c>
      <c r="S21" s="47">
        <v>43802</v>
      </c>
      <c r="T21" s="47">
        <v>43823</v>
      </c>
      <c r="U21" s="47">
        <f>T21+7</f>
        <v>43830</v>
      </c>
      <c r="V21" s="2300">
        <v>1815818.43</v>
      </c>
      <c r="W21" s="47">
        <v>43837</v>
      </c>
      <c r="X21" s="47">
        <v>43844</v>
      </c>
      <c r="Y21" s="47">
        <v>43847</v>
      </c>
      <c r="Z21" s="47">
        <v>43967</v>
      </c>
      <c r="AA21" s="47">
        <f>Z21+365</f>
        <v>44332</v>
      </c>
      <c r="AB21" s="2303"/>
      <c r="AC21" s="8"/>
      <c r="AD21" s="8"/>
      <c r="AE21" s="8"/>
      <c r="AF21" s="8"/>
      <c r="AG21" s="8"/>
      <c r="AH21" s="8"/>
      <c r="AI21" s="8"/>
      <c r="AJ21" s="8"/>
      <c r="AK21" s="8"/>
      <c r="AL21" s="8"/>
      <c r="AM21" s="8"/>
      <c r="AN21" s="8"/>
      <c r="AO21" s="8"/>
      <c r="AP21" s="8"/>
      <c r="AQ21" s="8"/>
      <c r="AR21" s="8"/>
      <c r="AS21" s="8"/>
    </row>
    <row r="22" spans="1:46" s="89" customFormat="1" x14ac:dyDescent="0.2">
      <c r="A22" s="2306"/>
      <c r="B22" s="2314"/>
      <c r="C22" s="2306"/>
      <c r="D22" s="2306"/>
      <c r="E22" s="2317"/>
      <c r="F22" s="2306"/>
      <c r="G22" s="2308"/>
      <c r="H22" s="1401"/>
      <c r="I22" s="2311"/>
      <c r="J22" s="2311"/>
      <c r="K22" s="2311"/>
      <c r="L22" s="2295"/>
      <c r="M22" s="2298"/>
      <c r="N22" s="2298"/>
      <c r="O22" s="44" t="s">
        <v>93</v>
      </c>
      <c r="P22" s="27"/>
      <c r="Q22" s="27"/>
      <c r="R22" s="27"/>
      <c r="S22" s="27"/>
      <c r="T22" s="27"/>
      <c r="U22" s="27"/>
      <c r="V22" s="2301"/>
      <c r="W22" s="27"/>
      <c r="X22" s="48"/>
      <c r="Y22" s="48"/>
      <c r="Z22" s="47">
        <v>44384</v>
      </c>
      <c r="AA22" s="869">
        <f>Z22+365</f>
        <v>44749</v>
      </c>
      <c r="AB22" s="2304"/>
    </row>
    <row r="23" spans="1:46" x14ac:dyDescent="0.2">
      <c r="A23" s="2306"/>
      <c r="B23" s="2315"/>
      <c r="C23" s="2306"/>
      <c r="D23" s="2306"/>
      <c r="E23" s="2318"/>
      <c r="F23" s="2306"/>
      <c r="G23" s="2309"/>
      <c r="H23" s="1402"/>
      <c r="I23" s="2312"/>
      <c r="J23" s="2312"/>
      <c r="K23" s="2312"/>
      <c r="L23" s="2296"/>
      <c r="M23" s="2299"/>
      <c r="N23" s="2299"/>
      <c r="O23" s="44" t="s">
        <v>94</v>
      </c>
      <c r="P23" s="45">
        <v>43773</v>
      </c>
      <c r="Q23" s="46">
        <f>P23+7</f>
        <v>43780</v>
      </c>
      <c r="R23" s="28">
        <v>43958</v>
      </c>
      <c r="S23" s="28">
        <v>43980</v>
      </c>
      <c r="T23" s="28">
        <v>44004</v>
      </c>
      <c r="U23" s="28">
        <v>44012</v>
      </c>
      <c r="V23" s="2302"/>
      <c r="W23" s="47">
        <v>44015</v>
      </c>
      <c r="X23" s="47">
        <v>44018</v>
      </c>
      <c r="Y23" s="47">
        <v>44020</v>
      </c>
      <c r="AB23" s="2305"/>
      <c r="AC23" s="8"/>
      <c r="AD23" s="8"/>
      <c r="AE23" s="8"/>
      <c r="AF23" s="8"/>
      <c r="AG23" s="8"/>
      <c r="AH23" s="8"/>
      <c r="AI23" s="8"/>
      <c r="AJ23" s="8"/>
      <c r="AK23" s="8"/>
      <c r="AL23" s="8"/>
      <c r="AM23" s="8"/>
      <c r="AN23" s="8"/>
      <c r="AO23" s="8"/>
      <c r="AP23" s="8"/>
      <c r="AQ23" s="8"/>
      <c r="AR23" s="8"/>
      <c r="AS23" s="8"/>
    </row>
    <row r="24" spans="1:46" ht="11.25" customHeight="1" x14ac:dyDescent="0.2">
      <c r="A24" s="2316">
        <v>3</v>
      </c>
      <c r="B24" s="2313" t="s">
        <v>149</v>
      </c>
      <c r="C24" s="2316" t="s">
        <v>3</v>
      </c>
      <c r="D24" s="2316">
        <v>1</v>
      </c>
      <c r="E24" s="2316" t="s">
        <v>295</v>
      </c>
      <c r="F24" s="2316"/>
      <c r="G24" s="2307">
        <v>4000000</v>
      </c>
      <c r="H24" s="1403">
        <v>1500000</v>
      </c>
      <c r="I24" s="2316"/>
      <c r="J24" s="2307">
        <f>H24</f>
        <v>1500000</v>
      </c>
      <c r="K24" s="2316"/>
      <c r="L24" s="2316"/>
      <c r="M24" s="2316" t="s">
        <v>90</v>
      </c>
      <c r="N24" s="2316" t="s">
        <v>91</v>
      </c>
      <c r="O24" s="44" t="s">
        <v>92</v>
      </c>
      <c r="P24" s="45">
        <v>43030</v>
      </c>
      <c r="Q24" s="46">
        <f>P24+7</f>
        <v>43037</v>
      </c>
      <c r="R24" s="47">
        <f>Q24+7</f>
        <v>43044</v>
      </c>
      <c r="S24" s="47">
        <f>R24+15</f>
        <v>43059</v>
      </c>
      <c r="T24" s="47">
        <f>S24+14</f>
        <v>43073</v>
      </c>
      <c r="U24" s="47">
        <f>T24+7</f>
        <v>43080</v>
      </c>
      <c r="V24" s="2325">
        <v>3956175.89</v>
      </c>
      <c r="W24" s="47">
        <f>U24+14</f>
        <v>43094</v>
      </c>
      <c r="X24" s="47">
        <f>W24+14</f>
        <v>43108</v>
      </c>
      <c r="Y24" s="47">
        <f>X24+7</f>
        <v>43115</v>
      </c>
      <c r="Z24" s="47">
        <f>Y24+150</f>
        <v>43265</v>
      </c>
      <c r="AA24" s="47">
        <f>Z24+365</f>
        <v>43630</v>
      </c>
      <c r="AB24" s="2307">
        <v>2000000</v>
      </c>
    </row>
    <row r="25" spans="1:46" x14ac:dyDescent="0.2">
      <c r="A25" s="2317"/>
      <c r="B25" s="2314"/>
      <c r="C25" s="2317"/>
      <c r="D25" s="2317"/>
      <c r="E25" s="2317"/>
      <c r="F25" s="2317"/>
      <c r="G25" s="2308"/>
      <c r="H25" s="1404"/>
      <c r="I25" s="2317"/>
      <c r="J25" s="2308"/>
      <c r="K25" s="2317"/>
      <c r="L25" s="2317"/>
      <c r="M25" s="2317"/>
      <c r="N25" s="2317"/>
      <c r="O25" s="44" t="s">
        <v>93</v>
      </c>
      <c r="P25" s="48"/>
      <c r="Q25" s="48"/>
      <c r="R25" s="48"/>
      <c r="S25" s="49"/>
      <c r="T25" s="49"/>
      <c r="U25" s="49"/>
      <c r="V25" s="2326"/>
      <c r="W25" s="50"/>
      <c r="X25" s="49"/>
      <c r="Y25" s="49"/>
      <c r="Z25" s="49">
        <v>44019</v>
      </c>
      <c r="AA25" s="49">
        <f>Z25+365</f>
        <v>44384</v>
      </c>
      <c r="AB25" s="2308"/>
    </row>
    <row r="26" spans="1:46" s="67" customFormat="1" x14ac:dyDescent="0.2">
      <c r="A26" s="2318"/>
      <c r="B26" s="2315"/>
      <c r="C26" s="2318"/>
      <c r="D26" s="2318"/>
      <c r="E26" s="2318"/>
      <c r="F26" s="2318"/>
      <c r="G26" s="2309"/>
      <c r="H26" s="1405"/>
      <c r="I26" s="2318"/>
      <c r="J26" s="2309"/>
      <c r="K26" s="2318"/>
      <c r="L26" s="2318"/>
      <c r="M26" s="2318"/>
      <c r="N26" s="2318"/>
      <c r="O26" s="44" t="s">
        <v>94</v>
      </c>
      <c r="P26" s="865">
        <v>43108</v>
      </c>
      <c r="Q26" s="866">
        <f>P26+7</f>
        <v>43115</v>
      </c>
      <c r="R26" s="865">
        <f>Q26+14</f>
        <v>43129</v>
      </c>
      <c r="S26" s="865">
        <f>R26+15</f>
        <v>43144</v>
      </c>
      <c r="T26" s="865">
        <f>S26+7</f>
        <v>43151</v>
      </c>
      <c r="U26" s="865">
        <f>T26+7</f>
        <v>43158</v>
      </c>
      <c r="V26" s="2327"/>
      <c r="W26" s="867">
        <f>U26+14</f>
        <v>43172</v>
      </c>
      <c r="X26" s="868">
        <f>W26+14</f>
        <v>43186</v>
      </c>
      <c r="Y26" s="868">
        <f>X26+7</f>
        <v>43193</v>
      </c>
      <c r="Z26" s="48"/>
      <c r="AA26" s="48"/>
      <c r="AB26" s="2309"/>
      <c r="AC26" s="7"/>
      <c r="AD26" s="7"/>
      <c r="AE26" s="7"/>
      <c r="AF26" s="7"/>
      <c r="AG26" s="7"/>
      <c r="AH26" s="7"/>
      <c r="AI26" s="7"/>
      <c r="AJ26" s="7"/>
      <c r="AK26" s="7"/>
      <c r="AL26" s="7"/>
      <c r="AM26" s="7"/>
      <c r="AN26" s="7"/>
      <c r="AO26" s="7"/>
      <c r="AP26" s="7"/>
      <c r="AQ26" s="7"/>
      <c r="AR26" s="7"/>
      <c r="AS26" s="7"/>
    </row>
    <row r="27" spans="1:46" s="89" customFormat="1" ht="11.4" x14ac:dyDescent="0.2">
      <c r="A27" s="131"/>
      <c r="B27" s="673" t="s">
        <v>528</v>
      </c>
      <c r="C27" s="132"/>
      <c r="D27" s="133"/>
      <c r="E27" s="132"/>
      <c r="F27" s="132"/>
      <c r="G27" s="1395"/>
      <c r="H27" s="87">
        <f>H24+H18+H21</f>
        <v>14085000</v>
      </c>
      <c r="I27" s="87">
        <f t="shared" ref="I27:L27" si="0">I24+I18+I21</f>
        <v>0</v>
      </c>
      <c r="J27" s="87">
        <f t="shared" si="0"/>
        <v>14085000</v>
      </c>
      <c r="K27" s="87">
        <f t="shared" si="0"/>
        <v>0</v>
      </c>
      <c r="L27" s="87">
        <f t="shared" si="0"/>
        <v>0</v>
      </c>
      <c r="M27" s="87"/>
      <c r="N27" s="87"/>
      <c r="O27" s="87"/>
      <c r="P27" s="87"/>
      <c r="Q27" s="87"/>
      <c r="R27" s="87"/>
      <c r="S27" s="87"/>
      <c r="T27" s="87"/>
      <c r="U27" s="87"/>
      <c r="V27" s="87">
        <f>V18+V24</f>
        <v>47023287.390000001</v>
      </c>
      <c r="W27" s="87"/>
      <c r="X27" s="88"/>
      <c r="Y27" s="88"/>
      <c r="Z27" s="88"/>
      <c r="AA27" s="88"/>
      <c r="AB27" s="87">
        <f>AB18+AB24</f>
        <v>15587860.699999999</v>
      </c>
    </row>
    <row r="28" spans="1:46" ht="13.2" x14ac:dyDescent="0.25">
      <c r="B28" s="679" t="s">
        <v>529</v>
      </c>
      <c r="C28" s="680"/>
      <c r="D28" s="681"/>
      <c r="E28" s="680"/>
      <c r="F28" s="680"/>
      <c r="G28" s="1396"/>
      <c r="H28" s="677">
        <f>H16+H27</f>
        <v>14085000</v>
      </c>
      <c r="I28" s="680"/>
      <c r="J28" s="682">
        <f>J16+J27</f>
        <v>14085000</v>
      </c>
      <c r="K28" s="680"/>
      <c r="L28" s="680"/>
      <c r="M28" s="680"/>
      <c r="N28" s="680"/>
      <c r="O28" s="683"/>
      <c r="P28" s="680"/>
      <c r="Q28" s="680"/>
      <c r="R28" s="680"/>
      <c r="S28" s="680"/>
      <c r="T28" s="680"/>
      <c r="U28" s="680"/>
      <c r="V28" s="680"/>
      <c r="W28" s="680"/>
      <c r="X28" s="684"/>
      <c r="Y28" s="684"/>
      <c r="Z28" s="684"/>
      <c r="AA28" s="684"/>
      <c r="AB28" s="680"/>
    </row>
    <row r="29" spans="1:46" x14ac:dyDescent="0.2">
      <c r="H29" s="678"/>
    </row>
    <row r="30" spans="1:46" x14ac:dyDescent="0.2">
      <c r="H30" s="676"/>
      <c r="V30" s="102">
        <f>V18*0.2</f>
        <v>8613422.3000000007</v>
      </c>
    </row>
    <row r="31" spans="1:46" x14ac:dyDescent="0.2">
      <c r="H31" s="676"/>
    </row>
    <row r="32" spans="1:46" x14ac:dyDescent="0.2">
      <c r="H32" s="676"/>
      <c r="I32" s="58">
        <f>48570707.78-48056353</f>
        <v>514354.78000000119</v>
      </c>
    </row>
    <row r="33" spans="8:8" x14ac:dyDescent="0.2">
      <c r="H33" s="676"/>
    </row>
    <row r="34" spans="8:8" x14ac:dyDescent="0.2">
      <c r="H34" s="676"/>
    </row>
  </sheetData>
  <mergeCells count="74">
    <mergeCell ref="P10:Q10"/>
    <mergeCell ref="I11:L11"/>
    <mergeCell ref="A10:A11"/>
    <mergeCell ref="B10:B11"/>
    <mergeCell ref="C10:D10"/>
    <mergeCell ref="E10:N10"/>
    <mergeCell ref="AA9:AB9"/>
    <mergeCell ref="R10:S10"/>
    <mergeCell ref="T10:U10"/>
    <mergeCell ref="V10:X10"/>
    <mergeCell ref="Y10:AB10"/>
    <mergeCell ref="A8:B8"/>
    <mergeCell ref="C8:K8"/>
    <mergeCell ref="L8:N8"/>
    <mergeCell ref="A9:B9"/>
    <mergeCell ref="C9:H9"/>
    <mergeCell ref="I9:U9"/>
    <mergeCell ref="A24:A26"/>
    <mergeCell ref="B24:B26"/>
    <mergeCell ref="C24:C26"/>
    <mergeCell ref="D24:D26"/>
    <mergeCell ref="E24:E26"/>
    <mergeCell ref="A5:B5"/>
    <mergeCell ref="C5:N5"/>
    <mergeCell ref="A6:B6"/>
    <mergeCell ref="C6:N6"/>
    <mergeCell ref="A7:B7"/>
    <mergeCell ref="C7:N7"/>
    <mergeCell ref="A2:B2"/>
    <mergeCell ref="C2:N2"/>
    <mergeCell ref="A3:B3"/>
    <mergeCell ref="C3:N3"/>
    <mergeCell ref="A4:B4"/>
    <mergeCell ref="C4:N4"/>
    <mergeCell ref="AB24:AB26"/>
    <mergeCell ref="V24:V26"/>
    <mergeCell ref="F24:F26"/>
    <mergeCell ref="I24:I26"/>
    <mergeCell ref="J24:J26"/>
    <mergeCell ref="K24:K26"/>
    <mergeCell ref="L24:L26"/>
    <mergeCell ref="M24:M26"/>
    <mergeCell ref="N24:N26"/>
    <mergeCell ref="G24:G26"/>
    <mergeCell ref="A18:A20"/>
    <mergeCell ref="B18:B20"/>
    <mergeCell ref="C18:C20"/>
    <mergeCell ref="D18:D20"/>
    <mergeCell ref="E18:E20"/>
    <mergeCell ref="V18:V20"/>
    <mergeCell ref="AB18:AB20"/>
    <mergeCell ref="F18:F20"/>
    <mergeCell ref="I18:I20"/>
    <mergeCell ref="J18:J20"/>
    <mergeCell ref="K18:K20"/>
    <mergeCell ref="G18:G20"/>
    <mergeCell ref="L18:L20"/>
    <mergeCell ref="M18:M20"/>
    <mergeCell ref="N18:N20"/>
    <mergeCell ref="A21:A23"/>
    <mergeCell ref="B21:B23"/>
    <mergeCell ref="C21:C23"/>
    <mergeCell ref="D21:D23"/>
    <mergeCell ref="E21:E23"/>
    <mergeCell ref="F21:F23"/>
    <mergeCell ref="G21:G23"/>
    <mergeCell ref="I21:I23"/>
    <mergeCell ref="J21:J23"/>
    <mergeCell ref="K21:K23"/>
    <mergeCell ref="L21:L23"/>
    <mergeCell ref="M21:M23"/>
    <mergeCell ref="N21:N23"/>
    <mergeCell ref="V21:V23"/>
    <mergeCell ref="AB21:AB23"/>
  </mergeCells>
  <pageMargins left="0.7" right="0.7" top="0.75" bottom="0.75" header="0.3" footer="0.3"/>
  <pageSetup scale="45" orientation="landscape" r:id="rId1"/>
  <colBreaks count="1" manualBreakCount="1">
    <brk id="2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3"/>
  <sheetViews>
    <sheetView view="pageBreakPreview" zoomScale="90" zoomScaleNormal="90" zoomScaleSheetLayoutView="90" workbookViewId="0">
      <selection activeCell="I34" sqref="I34"/>
    </sheetView>
  </sheetViews>
  <sheetFormatPr defaultColWidth="9.109375" defaultRowHeight="10.199999999999999" x14ac:dyDescent="0.2"/>
  <cols>
    <col min="1" max="1" width="5.44140625" style="9" customWidth="1"/>
    <col min="2" max="2" width="21.88671875" style="8" customWidth="1"/>
    <col min="3" max="3" width="5.6640625" style="8" bestFit="1" customWidth="1"/>
    <col min="4" max="4" width="5.6640625" style="24" bestFit="1" customWidth="1"/>
    <col min="5" max="5" width="13.33203125" style="8" customWidth="1"/>
    <col min="6" max="6" width="5.88671875" style="8" customWidth="1"/>
    <col min="7" max="7" width="12" style="8" bestFit="1" customWidth="1"/>
    <col min="8" max="8" width="15.5546875" style="25" bestFit="1" customWidth="1"/>
    <col min="9" max="9" width="10.21875" style="8" bestFit="1" customWidth="1"/>
    <col min="10" max="10" width="13.33203125" style="8" customWidth="1"/>
    <col min="11" max="11" width="4.6640625" style="8" bestFit="1" customWidth="1"/>
    <col min="12" max="12" width="6.6640625" style="8" customWidth="1"/>
    <col min="13" max="13" width="10.77734375" style="8" bestFit="1" customWidth="1"/>
    <col min="14" max="14" width="9.109375" style="8"/>
    <col min="15" max="15" width="8.77734375" style="26" bestFit="1" customWidth="1"/>
    <col min="16" max="16" width="11.5546875" style="8" customWidth="1"/>
    <col min="17" max="17" width="11" style="8" customWidth="1"/>
    <col min="18" max="18" width="9.33203125" style="8" bestFit="1" customWidth="1"/>
    <col min="19" max="19" width="13.88671875" style="8" bestFit="1" customWidth="1"/>
    <col min="20" max="20" width="17.5546875" style="8" bestFit="1" customWidth="1"/>
    <col min="21" max="21" width="16.33203125" style="8" bestFit="1" customWidth="1"/>
    <col min="22" max="22" width="13.5546875" style="8" customWidth="1"/>
    <col min="23" max="23" width="16.109375" style="8" bestFit="1" customWidth="1"/>
    <col min="24" max="24" width="14.5546875" style="9" bestFit="1" customWidth="1"/>
    <col min="25" max="25" width="15.6640625" style="9" bestFit="1" customWidth="1"/>
    <col min="26" max="26" width="11.109375" style="9" customWidth="1"/>
    <col min="27" max="27" width="11.33203125" style="9" bestFit="1" customWidth="1"/>
    <col min="28" max="28" width="6.44140625" style="8" bestFit="1" customWidth="1"/>
    <col min="29" max="45" width="9.109375" style="7"/>
    <col min="46" max="16384" width="9.109375" style="8"/>
  </cols>
  <sheetData>
    <row r="1" spans="1:31" x14ac:dyDescent="0.2">
      <c r="O1" s="29"/>
      <c r="P1" s="30"/>
      <c r="Q1" s="30"/>
      <c r="R1" s="30"/>
      <c r="S1" s="30"/>
      <c r="T1" s="30"/>
      <c r="U1" s="30"/>
      <c r="V1" s="7"/>
    </row>
    <row r="2" spans="1:31" x14ac:dyDescent="0.2">
      <c r="A2" s="2328" t="s">
        <v>33</v>
      </c>
      <c r="B2" s="2329"/>
      <c r="C2" s="2330" t="s">
        <v>34</v>
      </c>
      <c r="D2" s="2331"/>
      <c r="E2" s="2331"/>
      <c r="F2" s="2331"/>
      <c r="G2" s="2331"/>
      <c r="H2" s="2331"/>
      <c r="I2" s="2331"/>
      <c r="J2" s="2331"/>
      <c r="K2" s="2331"/>
      <c r="L2" s="2331"/>
      <c r="M2" s="2331"/>
      <c r="N2" s="2331"/>
      <c r="O2" s="5"/>
      <c r="P2" s="5"/>
      <c r="Q2" s="5"/>
      <c r="R2" s="6"/>
      <c r="S2" s="6"/>
      <c r="T2" s="6"/>
      <c r="U2" s="6"/>
      <c r="V2" s="7"/>
    </row>
    <row r="3" spans="1:31" x14ac:dyDescent="0.2">
      <c r="A3" s="2332" t="s">
        <v>35</v>
      </c>
      <c r="B3" s="2329"/>
      <c r="C3" s="2333" t="s">
        <v>520</v>
      </c>
      <c r="D3" s="2334"/>
      <c r="E3" s="2334"/>
      <c r="F3" s="2334"/>
      <c r="G3" s="2334"/>
      <c r="H3" s="2334"/>
      <c r="I3" s="2334"/>
      <c r="J3" s="2334"/>
      <c r="K3" s="2334"/>
      <c r="L3" s="2334"/>
      <c r="M3" s="2334"/>
      <c r="N3" s="2334"/>
      <c r="O3" s="10"/>
      <c r="P3" s="10"/>
      <c r="Q3" s="10"/>
      <c r="R3" s="6"/>
      <c r="S3" s="6"/>
      <c r="T3" s="6"/>
      <c r="U3" s="6"/>
      <c r="V3" s="7"/>
    </row>
    <row r="4" spans="1:31" x14ac:dyDescent="0.2">
      <c r="A4" s="2332" t="s">
        <v>36</v>
      </c>
      <c r="B4" s="2329"/>
      <c r="C4" s="2333" t="s">
        <v>37</v>
      </c>
      <c r="D4" s="2334"/>
      <c r="E4" s="2334"/>
      <c r="F4" s="2334"/>
      <c r="G4" s="2334"/>
      <c r="H4" s="2334"/>
      <c r="I4" s="2334"/>
      <c r="J4" s="2334"/>
      <c r="K4" s="2334"/>
      <c r="L4" s="2334"/>
      <c r="M4" s="2334"/>
      <c r="N4" s="2334"/>
      <c r="O4" s="10"/>
      <c r="P4" s="10"/>
      <c r="Q4" s="10"/>
      <c r="R4" s="6"/>
      <c r="S4" s="6"/>
      <c r="T4" s="6"/>
      <c r="U4" s="6"/>
      <c r="V4" s="7"/>
    </row>
    <row r="5" spans="1:31" x14ac:dyDescent="0.2">
      <c r="A5" s="2332" t="s">
        <v>38</v>
      </c>
      <c r="B5" s="2329"/>
      <c r="C5" s="2333" t="s">
        <v>32</v>
      </c>
      <c r="D5" s="2334"/>
      <c r="E5" s="2334"/>
      <c r="F5" s="2334"/>
      <c r="G5" s="2334"/>
      <c r="H5" s="2334"/>
      <c r="I5" s="2334"/>
      <c r="J5" s="2334"/>
      <c r="K5" s="2334"/>
      <c r="L5" s="2334"/>
      <c r="M5" s="2334"/>
      <c r="N5" s="2334"/>
      <c r="O5" s="10"/>
      <c r="P5" s="10"/>
      <c r="Q5" s="10"/>
      <c r="R5" s="6"/>
      <c r="S5" s="6"/>
      <c r="T5" s="6"/>
      <c r="U5" s="6"/>
      <c r="V5" s="7"/>
    </row>
    <row r="6" spans="1:31" x14ac:dyDescent="0.2">
      <c r="A6" s="2332" t="s">
        <v>39</v>
      </c>
      <c r="B6" s="2329"/>
      <c r="C6" s="2335" t="s">
        <v>521</v>
      </c>
      <c r="D6" s="2336"/>
      <c r="E6" s="2336"/>
      <c r="F6" s="2336"/>
      <c r="G6" s="2336"/>
      <c r="H6" s="2336"/>
      <c r="I6" s="2336"/>
      <c r="J6" s="2336"/>
      <c r="K6" s="2336"/>
      <c r="L6" s="2336"/>
      <c r="M6" s="2336"/>
      <c r="N6" s="2336"/>
      <c r="O6" s="11"/>
      <c r="P6" s="11"/>
      <c r="Q6" s="11"/>
      <c r="R6" s="12"/>
      <c r="S6" s="12"/>
      <c r="T6" s="12"/>
      <c r="U6" s="12"/>
      <c r="V6" s="7"/>
    </row>
    <row r="7" spans="1:31" x14ac:dyDescent="0.2">
      <c r="A7" s="2332" t="s">
        <v>40</v>
      </c>
      <c r="B7" s="2329"/>
      <c r="C7" s="2337" t="s">
        <v>41</v>
      </c>
      <c r="D7" s="2338"/>
      <c r="E7" s="2338"/>
      <c r="F7" s="2338"/>
      <c r="G7" s="2338"/>
      <c r="H7" s="2338"/>
      <c r="I7" s="2338"/>
      <c r="J7" s="2338"/>
      <c r="K7" s="2338"/>
      <c r="L7" s="2338"/>
      <c r="M7" s="2338"/>
      <c r="N7" s="2338"/>
      <c r="O7" s="13"/>
      <c r="P7" s="13"/>
      <c r="Q7" s="13"/>
      <c r="R7" s="12"/>
      <c r="S7" s="12"/>
      <c r="T7" s="12"/>
      <c r="U7" s="14"/>
      <c r="V7" s="7"/>
    </row>
    <row r="8" spans="1:31" x14ac:dyDescent="0.2">
      <c r="A8" s="2332" t="s">
        <v>42</v>
      </c>
      <c r="B8" s="2329"/>
      <c r="C8" s="2339" t="s">
        <v>43</v>
      </c>
      <c r="D8" s="2339"/>
      <c r="E8" s="2339"/>
      <c r="F8" s="2339"/>
      <c r="G8" s="2339"/>
      <c r="H8" s="2339"/>
      <c r="I8" s="2339"/>
      <c r="J8" s="2339"/>
      <c r="K8" s="2339"/>
      <c r="L8" s="2340" t="s">
        <v>705</v>
      </c>
      <c r="M8" s="2341"/>
      <c r="N8" s="2341"/>
      <c r="O8" s="13"/>
      <c r="P8" s="13"/>
      <c r="Q8" s="13"/>
      <c r="R8" s="12"/>
      <c r="S8" s="12"/>
      <c r="T8" s="12"/>
      <c r="U8" s="12"/>
      <c r="V8" s="7"/>
    </row>
    <row r="9" spans="1:31" ht="10.8" thickBot="1" x14ac:dyDescent="0.25">
      <c r="A9" s="2342" t="s">
        <v>44</v>
      </c>
      <c r="B9" s="2343"/>
      <c r="C9" s="2344" t="s">
        <v>45</v>
      </c>
      <c r="D9" s="2345"/>
      <c r="E9" s="2345"/>
      <c r="F9" s="2345"/>
      <c r="G9" s="2345"/>
      <c r="H9" s="2345"/>
      <c r="I9" s="2346"/>
      <c r="J9" s="2346"/>
      <c r="K9" s="2346"/>
      <c r="L9" s="2346"/>
      <c r="M9" s="2346"/>
      <c r="N9" s="2346"/>
      <c r="O9" s="2347"/>
      <c r="P9" s="2347"/>
      <c r="Q9" s="2347"/>
      <c r="R9" s="2347"/>
      <c r="S9" s="2347"/>
      <c r="T9" s="2347"/>
      <c r="U9" s="2347"/>
      <c r="V9" s="15"/>
      <c r="W9" s="15"/>
      <c r="X9" s="16"/>
      <c r="Y9" s="16"/>
      <c r="Z9" s="16"/>
      <c r="AA9" s="2348" t="s">
        <v>23</v>
      </c>
      <c r="AB9" s="2348"/>
      <c r="AE9" s="7" t="e">
        <f>#REF!-#REF!</f>
        <v>#REF!</v>
      </c>
    </row>
    <row r="10" spans="1:31" ht="11.4" thickTop="1" x14ac:dyDescent="0.2">
      <c r="A10" s="2358" t="s">
        <v>46</v>
      </c>
      <c r="B10" s="2360" t="s">
        <v>47</v>
      </c>
      <c r="C10" s="2349" t="s">
        <v>48</v>
      </c>
      <c r="D10" s="2350"/>
      <c r="E10" s="2349" t="s">
        <v>49</v>
      </c>
      <c r="F10" s="2351"/>
      <c r="G10" s="2351"/>
      <c r="H10" s="2351"/>
      <c r="I10" s="2351"/>
      <c r="J10" s="2351"/>
      <c r="K10" s="2351"/>
      <c r="L10" s="2351"/>
      <c r="M10" s="2351"/>
      <c r="N10" s="2351"/>
      <c r="O10" s="1867"/>
      <c r="P10" s="2353" t="s">
        <v>50</v>
      </c>
      <c r="Q10" s="2354"/>
      <c r="R10" s="2349" t="s">
        <v>51</v>
      </c>
      <c r="S10" s="2350"/>
      <c r="T10" s="2349" t="s">
        <v>52</v>
      </c>
      <c r="U10" s="2350"/>
      <c r="V10" s="2349" t="s">
        <v>53</v>
      </c>
      <c r="W10" s="2351"/>
      <c r="X10" s="2350"/>
      <c r="Y10" s="2349" t="s">
        <v>54</v>
      </c>
      <c r="Z10" s="2351"/>
      <c r="AA10" s="2351"/>
      <c r="AB10" s="2352"/>
    </row>
    <row r="11" spans="1:31" ht="84" customHeight="1" x14ac:dyDescent="0.25">
      <c r="A11" s="2359"/>
      <c r="B11" s="2361"/>
      <c r="C11" s="1868" t="s">
        <v>5</v>
      </c>
      <c r="D11" s="1869" t="s">
        <v>55</v>
      </c>
      <c r="E11" s="1868" t="s">
        <v>56</v>
      </c>
      <c r="F11" s="1868" t="s">
        <v>57</v>
      </c>
      <c r="G11" s="1880" t="s">
        <v>781</v>
      </c>
      <c r="H11" s="1870" t="s">
        <v>780</v>
      </c>
      <c r="I11" s="2355" t="s">
        <v>59</v>
      </c>
      <c r="J11" s="2356"/>
      <c r="K11" s="2356"/>
      <c r="L11" s="2357"/>
      <c r="M11" s="1868" t="s">
        <v>60</v>
      </c>
      <c r="N11" s="1868" t="s">
        <v>61</v>
      </c>
      <c r="O11" s="1868" t="s">
        <v>62</v>
      </c>
      <c r="P11" s="1868" t="s">
        <v>63</v>
      </c>
      <c r="Q11" s="1868" t="s">
        <v>64</v>
      </c>
      <c r="R11" s="1868" t="s">
        <v>65</v>
      </c>
      <c r="S11" s="1868" t="s">
        <v>66</v>
      </c>
      <c r="T11" s="1868" t="s">
        <v>67</v>
      </c>
      <c r="U11" s="1868" t="s">
        <v>64</v>
      </c>
      <c r="V11" s="1868" t="s">
        <v>68</v>
      </c>
      <c r="W11" s="1868" t="s">
        <v>69</v>
      </c>
      <c r="X11" s="1868" t="s">
        <v>70</v>
      </c>
      <c r="Y11" s="1868" t="s">
        <v>71</v>
      </c>
      <c r="Z11" s="1868" t="s">
        <v>72</v>
      </c>
      <c r="AA11" s="1868" t="s">
        <v>73</v>
      </c>
      <c r="AB11" s="1868" t="s">
        <v>74</v>
      </c>
    </row>
    <row r="12" spans="1:31" ht="20.399999999999999" x14ac:dyDescent="0.2">
      <c r="A12" s="31"/>
      <c r="B12" s="32"/>
      <c r="C12" s="33"/>
      <c r="D12" s="34"/>
      <c r="E12" s="35"/>
      <c r="F12" s="33"/>
      <c r="G12" s="33"/>
      <c r="H12" s="36"/>
      <c r="I12" s="35" t="s">
        <v>75</v>
      </c>
      <c r="J12" s="37" t="s">
        <v>76</v>
      </c>
      <c r="K12" s="38" t="s">
        <v>77</v>
      </c>
      <c r="L12" s="39" t="s">
        <v>78</v>
      </c>
      <c r="M12" s="35"/>
      <c r="N12" s="40"/>
      <c r="O12" s="41"/>
      <c r="P12" s="42" t="s">
        <v>79</v>
      </c>
      <c r="Q12" s="42" t="s">
        <v>80</v>
      </c>
      <c r="R12" s="42" t="s">
        <v>81</v>
      </c>
      <c r="S12" s="42" t="s">
        <v>82</v>
      </c>
      <c r="T12" s="42" t="s">
        <v>83</v>
      </c>
      <c r="U12" s="42" t="s">
        <v>84</v>
      </c>
      <c r="V12" s="43"/>
      <c r="W12" s="42" t="s">
        <v>84</v>
      </c>
      <c r="X12" s="42" t="s">
        <v>85</v>
      </c>
      <c r="Y12" s="43" t="s">
        <v>86</v>
      </c>
      <c r="Z12" s="43" t="s">
        <v>87</v>
      </c>
      <c r="AA12" s="43" t="s">
        <v>88</v>
      </c>
      <c r="AB12" s="862"/>
    </row>
    <row r="13" spans="1:31" x14ac:dyDescent="0.2">
      <c r="A13" s="51"/>
      <c r="B13" s="125" t="s">
        <v>292</v>
      </c>
      <c r="C13" s="52"/>
      <c r="D13" s="53"/>
      <c r="E13" s="52"/>
      <c r="F13" s="52"/>
      <c r="G13" s="52"/>
      <c r="H13" s="52"/>
      <c r="I13" s="52"/>
      <c r="J13" s="52"/>
      <c r="K13" s="52"/>
      <c r="L13" s="52"/>
      <c r="M13" s="52"/>
      <c r="N13" s="54"/>
      <c r="O13" s="55"/>
      <c r="P13" s="27"/>
      <c r="Q13" s="27"/>
      <c r="R13" s="27"/>
      <c r="S13" s="27"/>
      <c r="T13" s="27"/>
      <c r="U13" s="27"/>
      <c r="V13" s="56"/>
      <c r="W13" s="27"/>
      <c r="X13" s="48"/>
      <c r="Y13" s="48"/>
      <c r="Z13" s="48"/>
      <c r="AA13" s="48"/>
      <c r="AB13" s="27"/>
    </row>
    <row r="14" spans="1:31" ht="13.2" x14ac:dyDescent="0.25">
      <c r="B14" s="57"/>
      <c r="H14" s="8"/>
      <c r="N14" s="58"/>
      <c r="O14" s="55"/>
      <c r="P14" s="27"/>
      <c r="Q14" s="27"/>
      <c r="R14" s="27"/>
      <c r="S14" s="27"/>
      <c r="T14" s="27"/>
      <c r="U14" s="27"/>
      <c r="V14" s="27"/>
      <c r="W14" s="27"/>
      <c r="X14" s="48"/>
      <c r="Y14" s="48"/>
      <c r="Z14" s="48"/>
      <c r="AA14" s="48"/>
      <c r="AB14" s="27"/>
    </row>
    <row r="15" spans="1:31" x14ac:dyDescent="0.2">
      <c r="A15" s="59"/>
      <c r="B15" s="60" t="s">
        <v>293</v>
      </c>
      <c r="C15" s="60"/>
      <c r="D15" s="61"/>
      <c r="E15" s="60"/>
      <c r="F15" s="60"/>
      <c r="G15" s="60"/>
      <c r="H15" s="62">
        <v>0</v>
      </c>
      <c r="I15" s="62">
        <f>SUM(I18:I20)</f>
        <v>0</v>
      </c>
      <c r="J15" s="62">
        <v>0</v>
      </c>
      <c r="K15" s="62">
        <f>SUM(K18:K20)</f>
        <v>0</v>
      </c>
      <c r="L15" s="62">
        <f>SUM(L18:L20)</f>
        <v>0</v>
      </c>
      <c r="M15" s="63"/>
      <c r="N15" s="64"/>
      <c r="O15" s="65"/>
      <c r="P15" s="60"/>
      <c r="Q15" s="60"/>
      <c r="R15" s="60"/>
      <c r="S15" s="60"/>
      <c r="T15" s="60"/>
      <c r="U15" s="60"/>
      <c r="V15" s="60"/>
      <c r="W15" s="60"/>
      <c r="X15" s="59"/>
      <c r="Y15" s="59"/>
      <c r="Z15" s="59"/>
      <c r="AA15" s="59"/>
      <c r="AB15" s="64"/>
    </row>
    <row r="17" spans="1:45" s="69" customFormat="1" ht="11.4" x14ac:dyDescent="0.2">
      <c r="A17" s="68"/>
      <c r="B17" s="73" t="s">
        <v>135</v>
      </c>
      <c r="D17" s="70"/>
      <c r="H17" s="71"/>
      <c r="O17" s="72"/>
      <c r="X17" s="68"/>
      <c r="Y17" s="68"/>
      <c r="Z17" s="68"/>
      <c r="AA17" s="68"/>
      <c r="AC17" s="7"/>
      <c r="AD17" s="7"/>
      <c r="AE17" s="7"/>
      <c r="AF17" s="7"/>
      <c r="AG17" s="7"/>
      <c r="AH17" s="7"/>
      <c r="AI17" s="7"/>
      <c r="AJ17" s="7"/>
      <c r="AK17" s="7"/>
      <c r="AL17" s="7"/>
      <c r="AM17" s="7"/>
      <c r="AN17" s="7"/>
      <c r="AO17" s="7"/>
      <c r="AP17" s="7"/>
      <c r="AQ17" s="7"/>
      <c r="AR17" s="7"/>
      <c r="AS17" s="7"/>
    </row>
    <row r="18" spans="1:45" ht="12" x14ac:dyDescent="0.25">
      <c r="A18" s="2316">
        <v>1</v>
      </c>
      <c r="B18" s="2313" t="s">
        <v>120</v>
      </c>
      <c r="C18" s="2316" t="s">
        <v>3</v>
      </c>
      <c r="D18" s="2316">
        <v>16</v>
      </c>
      <c r="E18" s="2316" t="s">
        <v>879</v>
      </c>
      <c r="F18" s="2316"/>
      <c r="G18" s="2307">
        <v>11300000</v>
      </c>
      <c r="H18" s="1397">
        <v>4000000</v>
      </c>
      <c r="I18" s="2322"/>
      <c r="J18" s="2322">
        <f>H18</f>
        <v>4000000</v>
      </c>
      <c r="K18" s="2322"/>
      <c r="L18" s="2297"/>
      <c r="M18" s="2297" t="s">
        <v>96</v>
      </c>
      <c r="N18" s="2365" t="s">
        <v>91</v>
      </c>
      <c r="O18" s="44" t="s">
        <v>92</v>
      </c>
      <c r="P18" s="1059">
        <f>Q18-7</f>
        <v>43906</v>
      </c>
      <c r="Q18" s="1060">
        <f>R18-7</f>
        <v>43913</v>
      </c>
      <c r="R18" s="1061">
        <v>43920</v>
      </c>
      <c r="S18" s="1061">
        <v>43935</v>
      </c>
      <c r="T18" s="1061">
        <v>43942</v>
      </c>
      <c r="U18" s="1061">
        <f>T18+7</f>
        <v>43949</v>
      </c>
      <c r="V18" s="1062"/>
      <c r="W18" s="1061">
        <v>43957</v>
      </c>
      <c r="X18" s="1063">
        <v>43962</v>
      </c>
      <c r="Y18" s="1064">
        <v>43966</v>
      </c>
      <c r="Z18" s="1064">
        <v>44026</v>
      </c>
      <c r="AA18" s="1064">
        <f>Z18+365</f>
        <v>44391</v>
      </c>
      <c r="AB18" s="2362"/>
    </row>
    <row r="19" spans="1:45" ht="12" x14ac:dyDescent="0.2">
      <c r="A19" s="2317"/>
      <c r="B19" s="2314"/>
      <c r="C19" s="2317"/>
      <c r="D19" s="2317"/>
      <c r="E19" s="2317"/>
      <c r="F19" s="2317"/>
      <c r="G19" s="2308"/>
      <c r="H19" s="1398"/>
      <c r="I19" s="2323"/>
      <c r="J19" s="2323"/>
      <c r="K19" s="2323"/>
      <c r="L19" s="2298"/>
      <c r="M19" s="2298"/>
      <c r="N19" s="2366"/>
      <c r="O19" s="44" t="s">
        <v>93</v>
      </c>
      <c r="P19" s="48"/>
      <c r="Q19" s="48"/>
      <c r="R19" s="48"/>
      <c r="S19" s="49"/>
      <c r="T19" s="49"/>
      <c r="U19" s="49"/>
      <c r="V19" s="1538">
        <v>11269023.08</v>
      </c>
      <c r="W19" s="50"/>
      <c r="X19" s="49"/>
      <c r="Y19" s="49"/>
      <c r="Z19" s="1061">
        <v>44376</v>
      </c>
      <c r="AA19" s="1061">
        <f>Z19+365</f>
        <v>44741</v>
      </c>
      <c r="AB19" s="2363"/>
    </row>
    <row r="20" spans="1:45" ht="12" x14ac:dyDescent="0.25">
      <c r="A20" s="2318"/>
      <c r="B20" s="2315"/>
      <c r="C20" s="2318"/>
      <c r="D20" s="2318"/>
      <c r="E20" s="2318"/>
      <c r="F20" s="2318"/>
      <c r="G20" s="2309"/>
      <c r="H20" s="1399"/>
      <c r="I20" s="2324"/>
      <c r="J20" s="2324"/>
      <c r="K20" s="2324"/>
      <c r="L20" s="2298"/>
      <c r="M20" s="2298"/>
      <c r="N20" s="2366"/>
      <c r="O20" s="44" t="s">
        <v>94</v>
      </c>
      <c r="P20" s="1059">
        <v>43906</v>
      </c>
      <c r="Q20" s="1060">
        <v>43913</v>
      </c>
      <c r="R20" s="1061">
        <v>43958</v>
      </c>
      <c r="S20" s="1061">
        <v>43980</v>
      </c>
      <c r="T20" s="1061">
        <v>43985</v>
      </c>
      <c r="U20" s="1061">
        <v>44002</v>
      </c>
      <c r="V20" s="1859"/>
      <c r="W20" s="1061">
        <v>44005</v>
      </c>
      <c r="X20" s="1061">
        <v>44008</v>
      </c>
      <c r="Y20" s="1061">
        <v>44011</v>
      </c>
      <c r="Z20" s="1858"/>
      <c r="AA20" s="48"/>
      <c r="AB20" s="2364"/>
    </row>
    <row r="21" spans="1:45" ht="11.25" customHeight="1" x14ac:dyDescent="0.25">
      <c r="A21" s="2306">
        <v>2</v>
      </c>
      <c r="B21" s="2313" t="s">
        <v>153</v>
      </c>
      <c r="C21" s="2306" t="s">
        <v>3</v>
      </c>
      <c r="D21" s="2306">
        <v>1</v>
      </c>
      <c r="E21" s="2316" t="s">
        <v>880</v>
      </c>
      <c r="F21" s="2306"/>
      <c r="G21" s="2307">
        <v>55000000</v>
      </c>
      <c r="H21" s="1400">
        <v>9448892</v>
      </c>
      <c r="I21" s="2310"/>
      <c r="J21" s="2310">
        <f>H21</f>
        <v>9448892</v>
      </c>
      <c r="K21" s="2310"/>
      <c r="L21" s="2294"/>
      <c r="M21" s="2297" t="s">
        <v>96</v>
      </c>
      <c r="N21" s="2297" t="s">
        <v>91</v>
      </c>
      <c r="O21" s="44" t="s">
        <v>92</v>
      </c>
      <c r="P21" s="1059">
        <f>Q21-7</f>
        <v>43906</v>
      </c>
      <c r="Q21" s="1060">
        <f>R21-7</f>
        <v>43913</v>
      </c>
      <c r="R21" s="1061">
        <v>43920</v>
      </c>
      <c r="S21" s="1061">
        <v>43935</v>
      </c>
      <c r="T21" s="1061">
        <v>43942</v>
      </c>
      <c r="U21" s="1061">
        <f>T21+7</f>
        <v>43949</v>
      </c>
      <c r="V21" s="1062"/>
      <c r="W21" s="1061">
        <v>43957</v>
      </c>
      <c r="X21" s="1063">
        <v>43962</v>
      </c>
      <c r="Y21" s="1064">
        <v>43966</v>
      </c>
      <c r="Z21" s="1064">
        <v>44026</v>
      </c>
      <c r="AA21" s="1064">
        <f>Z21+365</f>
        <v>44391</v>
      </c>
      <c r="AB21" s="2362"/>
      <c r="AC21" s="8"/>
      <c r="AD21" s="8"/>
      <c r="AE21" s="8"/>
      <c r="AF21" s="8"/>
      <c r="AG21" s="8"/>
      <c r="AH21" s="8"/>
      <c r="AI21" s="8"/>
      <c r="AJ21" s="8"/>
      <c r="AK21" s="8"/>
      <c r="AL21" s="8"/>
      <c r="AM21" s="8"/>
      <c r="AN21" s="8"/>
      <c r="AO21" s="8"/>
      <c r="AP21" s="8"/>
      <c r="AQ21" s="8"/>
      <c r="AR21" s="8"/>
      <c r="AS21" s="8"/>
    </row>
    <row r="22" spans="1:45" ht="12" x14ac:dyDescent="0.2">
      <c r="A22" s="2306"/>
      <c r="B22" s="2314"/>
      <c r="C22" s="2306"/>
      <c r="D22" s="2306"/>
      <c r="E22" s="2317"/>
      <c r="F22" s="2306"/>
      <c r="G22" s="2308"/>
      <c r="H22" s="1401"/>
      <c r="I22" s="2311"/>
      <c r="J22" s="2311"/>
      <c r="K22" s="2311"/>
      <c r="L22" s="2295"/>
      <c r="M22" s="2298"/>
      <c r="N22" s="2298"/>
      <c r="O22" s="44" t="s">
        <v>93</v>
      </c>
      <c r="P22" s="48"/>
      <c r="Q22" s="1858"/>
      <c r="R22" s="48"/>
      <c r="S22" s="49"/>
      <c r="T22" s="49"/>
      <c r="U22" s="49"/>
      <c r="V22" s="1538">
        <v>56314629.280000001</v>
      </c>
      <c r="W22" s="50"/>
      <c r="X22" s="49"/>
      <c r="Y22" s="49"/>
      <c r="Z22" s="1061">
        <v>44376</v>
      </c>
      <c r="AA22" s="1061">
        <f>Z22+365</f>
        <v>44741</v>
      </c>
      <c r="AB22" s="2363"/>
      <c r="AC22" s="8"/>
      <c r="AD22" s="8"/>
      <c r="AE22" s="8"/>
      <c r="AF22" s="8"/>
      <c r="AG22" s="8"/>
      <c r="AH22" s="8"/>
      <c r="AI22" s="8"/>
      <c r="AJ22" s="8"/>
      <c r="AK22" s="8"/>
      <c r="AL22" s="8"/>
      <c r="AM22" s="8"/>
      <c r="AN22" s="8"/>
      <c r="AO22" s="8"/>
      <c r="AP22" s="8"/>
      <c r="AQ22" s="8"/>
      <c r="AR22" s="8"/>
      <c r="AS22" s="8"/>
    </row>
    <row r="23" spans="1:45" ht="12" x14ac:dyDescent="0.25">
      <c r="A23" s="2306"/>
      <c r="B23" s="2315"/>
      <c r="C23" s="2306"/>
      <c r="D23" s="2306"/>
      <c r="E23" s="2318"/>
      <c r="F23" s="2306"/>
      <c r="G23" s="2309"/>
      <c r="H23" s="1402"/>
      <c r="I23" s="2312"/>
      <c r="J23" s="2312"/>
      <c r="K23" s="2312"/>
      <c r="L23" s="2295"/>
      <c r="M23" s="2298"/>
      <c r="N23" s="2298"/>
      <c r="O23" s="44" t="s">
        <v>94</v>
      </c>
      <c r="P23" s="1059">
        <v>43787</v>
      </c>
      <c r="Q23" s="1059">
        <v>43794</v>
      </c>
      <c r="R23" s="1059">
        <v>43875</v>
      </c>
      <c r="S23" s="1059">
        <v>43903</v>
      </c>
      <c r="T23" s="1059">
        <v>43914</v>
      </c>
      <c r="U23" s="1059">
        <v>43994</v>
      </c>
      <c r="V23" s="1059"/>
      <c r="W23" s="1059">
        <v>43997</v>
      </c>
      <c r="X23" s="1059">
        <v>43999</v>
      </c>
      <c r="Y23" s="1059">
        <v>44001</v>
      </c>
      <c r="Z23" s="48"/>
      <c r="AA23" s="48"/>
      <c r="AB23" s="2364"/>
      <c r="AC23" s="8"/>
      <c r="AD23" s="8"/>
      <c r="AE23" s="8"/>
      <c r="AF23" s="8"/>
      <c r="AG23" s="8"/>
      <c r="AH23" s="8"/>
      <c r="AI23" s="8"/>
      <c r="AJ23" s="8"/>
      <c r="AK23" s="8"/>
      <c r="AL23" s="8"/>
      <c r="AM23" s="8"/>
      <c r="AN23" s="8"/>
      <c r="AO23" s="8"/>
      <c r="AP23" s="8"/>
      <c r="AQ23" s="8"/>
      <c r="AR23" s="8"/>
      <c r="AS23" s="8"/>
    </row>
    <row r="24" spans="1:45" ht="11.4" x14ac:dyDescent="0.2">
      <c r="A24" s="74"/>
      <c r="B24" s="75" t="s">
        <v>8</v>
      </c>
      <c r="C24" s="75"/>
      <c r="D24" s="76"/>
      <c r="E24" s="75"/>
      <c r="F24" s="75"/>
      <c r="G24" s="1394">
        <f>SUM(G18:G23)</f>
        <v>66300000</v>
      </c>
      <c r="H24" s="1394">
        <f>SUM(H18:H23)</f>
        <v>13448892</v>
      </c>
      <c r="I24" s="1394">
        <f>SUM(I18:I23)</f>
        <v>0</v>
      </c>
      <c r="J24" s="1394">
        <f>SUM(J18:J23)</f>
        <v>13448892</v>
      </c>
      <c r="K24" s="1394">
        <f>SUM(K18:K23)</f>
        <v>0</v>
      </c>
      <c r="L24" s="75"/>
      <c r="M24" s="75"/>
      <c r="N24" s="75"/>
      <c r="O24" s="78"/>
      <c r="P24" s="75"/>
      <c r="Q24" s="75"/>
      <c r="R24" s="75"/>
      <c r="S24" s="75"/>
      <c r="T24" s="75"/>
      <c r="U24" s="75"/>
      <c r="V24" s="75"/>
      <c r="W24" s="75"/>
      <c r="X24" s="74"/>
      <c r="Y24" s="74"/>
      <c r="Z24" s="74"/>
      <c r="AA24" s="74"/>
      <c r="AB24" s="863"/>
    </row>
    <row r="25" spans="1:45" x14ac:dyDescent="0.2">
      <c r="G25" s="58"/>
      <c r="AB25" s="864"/>
    </row>
    <row r="26" spans="1:45" ht="11.4" x14ac:dyDescent="0.2">
      <c r="A26" s="74"/>
      <c r="B26" s="75" t="s">
        <v>136</v>
      </c>
      <c r="C26" s="75"/>
      <c r="D26" s="76"/>
      <c r="E26" s="75"/>
      <c r="F26" s="75"/>
      <c r="G26" s="77">
        <f>G15+G24</f>
        <v>66300000</v>
      </c>
      <c r="H26" s="77">
        <f>H15+H24</f>
        <v>13448892</v>
      </c>
      <c r="I26" s="77">
        <f>I15+I24</f>
        <v>0</v>
      </c>
      <c r="J26" s="77">
        <f>J15+J24</f>
        <v>13448892</v>
      </c>
      <c r="K26" s="75"/>
      <c r="L26" s="75"/>
      <c r="M26" s="75"/>
      <c r="N26" s="75"/>
      <c r="O26" s="78"/>
      <c r="P26" s="75"/>
      <c r="Q26" s="75"/>
      <c r="R26" s="75"/>
      <c r="S26" s="75"/>
      <c r="T26" s="75"/>
      <c r="U26" s="75"/>
      <c r="V26" s="75"/>
      <c r="W26" s="75"/>
      <c r="X26" s="74"/>
      <c r="Y26" s="74"/>
      <c r="Z26" s="74"/>
      <c r="AA26" s="74"/>
      <c r="AB26" s="75"/>
    </row>
    <row r="32" spans="1:45" x14ac:dyDescent="0.2">
      <c r="V32" s="102"/>
    </row>
    <row r="33" spans="22:22" x14ac:dyDescent="0.2">
      <c r="V33" s="102"/>
    </row>
  </sheetData>
  <mergeCells count="57">
    <mergeCell ref="A9:B9"/>
    <mergeCell ref="C9:H9"/>
    <mergeCell ref="I9:U9"/>
    <mergeCell ref="A7:B7"/>
    <mergeCell ref="C7:N7"/>
    <mergeCell ref="A8:B8"/>
    <mergeCell ref="A5:B5"/>
    <mergeCell ref="C5:N5"/>
    <mergeCell ref="A6:B6"/>
    <mergeCell ref="C6:N6"/>
    <mergeCell ref="C8:K8"/>
    <mergeCell ref="L8:N8"/>
    <mergeCell ref="A2:B2"/>
    <mergeCell ref="C2:N2"/>
    <mergeCell ref="A3:B3"/>
    <mergeCell ref="C3:N3"/>
    <mergeCell ref="A4:B4"/>
    <mergeCell ref="C4:N4"/>
    <mergeCell ref="AA9:AB9"/>
    <mergeCell ref="E10:N10"/>
    <mergeCell ref="I11:L11"/>
    <mergeCell ref="I18:I20"/>
    <mergeCell ref="J18:J20"/>
    <mergeCell ref="F18:F20"/>
    <mergeCell ref="N18:N20"/>
    <mergeCell ref="K18:K20"/>
    <mergeCell ref="L18:L20"/>
    <mergeCell ref="M18:M20"/>
    <mergeCell ref="Y10:AB10"/>
    <mergeCell ref="T10:U10"/>
    <mergeCell ref="V10:X10"/>
    <mergeCell ref="P10:Q10"/>
    <mergeCell ref="R10:S10"/>
    <mergeCell ref="F21:F23"/>
    <mergeCell ref="A10:A11"/>
    <mergeCell ref="B10:B11"/>
    <mergeCell ref="C10:D10"/>
    <mergeCell ref="D18:D20"/>
    <mergeCell ref="E18:E20"/>
    <mergeCell ref="A18:A20"/>
    <mergeCell ref="B18:B20"/>
    <mergeCell ref="L21:L23"/>
    <mergeCell ref="AB18:AB20"/>
    <mergeCell ref="AB21:AB23"/>
    <mergeCell ref="A21:A23"/>
    <mergeCell ref="B21:B23"/>
    <mergeCell ref="C21:C23"/>
    <mergeCell ref="D21:D23"/>
    <mergeCell ref="E21:E23"/>
    <mergeCell ref="C18:C20"/>
    <mergeCell ref="G18:G20"/>
    <mergeCell ref="G21:G23"/>
    <mergeCell ref="I21:I23"/>
    <mergeCell ref="M21:M23"/>
    <mergeCell ref="N21:N23"/>
    <mergeCell ref="J21:J23"/>
    <mergeCell ref="K21:K23"/>
  </mergeCells>
  <pageMargins left="0.7" right="0.7" top="0.75" bottom="0.75" header="0.3" footer="0.3"/>
  <pageSetup paperSize="8" scale="60" orientation="landscape" r:id="rId1"/>
  <colBreaks count="1" manualBreakCount="1">
    <brk id="2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S69"/>
  <sheetViews>
    <sheetView tabSelected="1" view="pageBreakPreview" zoomScale="60" zoomScaleNormal="70" workbookViewId="0">
      <selection activeCell="O55" sqref="O55:AA55"/>
    </sheetView>
  </sheetViews>
  <sheetFormatPr defaultColWidth="13.88671875" defaultRowHeight="13.8" x14ac:dyDescent="0.25"/>
  <cols>
    <col min="1" max="1" width="6.33203125" style="1761" customWidth="1"/>
    <col min="2" max="2" width="21.88671875" style="1761" customWidth="1"/>
    <col min="3" max="4" width="13.88671875" style="1761"/>
    <col min="5" max="5" width="15.5546875" style="1761" customWidth="1"/>
    <col min="6" max="6" width="13.88671875" style="1761"/>
    <col min="7" max="7" width="16.44140625" style="1761" customWidth="1"/>
    <col min="8" max="8" width="16.6640625" style="1761" customWidth="1"/>
    <col min="9" max="9" width="16.33203125" style="1761" customWidth="1"/>
    <col min="10" max="10" width="15.33203125" style="1761" customWidth="1"/>
    <col min="11" max="11" width="13.88671875" style="1761"/>
    <col min="12" max="12" width="14.109375" style="1761" bestFit="1" customWidth="1"/>
    <col min="13" max="16384" width="13.88671875" style="1761"/>
  </cols>
  <sheetData>
    <row r="1" spans="1:45" x14ac:dyDescent="0.25">
      <c r="A1" s="2406" t="s">
        <v>33</v>
      </c>
      <c r="B1" s="2372"/>
      <c r="C1" s="1803" t="s">
        <v>105</v>
      </c>
      <c r="D1" s="1804"/>
      <c r="E1" s="1804"/>
      <c r="F1" s="1804"/>
      <c r="G1" s="1804"/>
      <c r="H1" s="1804"/>
      <c r="I1" s="1804"/>
      <c r="J1" s="1758"/>
      <c r="K1" s="1758"/>
      <c r="L1" s="1758"/>
      <c r="M1" s="1758"/>
      <c r="N1" s="1759"/>
      <c r="O1" s="1760"/>
      <c r="P1" s="1760"/>
    </row>
    <row r="2" spans="1:45" x14ac:dyDescent="0.25">
      <c r="A2" s="2371" t="s">
        <v>106</v>
      </c>
      <c r="B2" s="2372"/>
      <c r="C2" s="2407" t="s">
        <v>609</v>
      </c>
      <c r="D2" s="2408"/>
      <c r="E2" s="2408"/>
      <c r="F2" s="2408"/>
      <c r="G2" s="2408"/>
      <c r="H2" s="2408"/>
      <c r="I2" s="2408"/>
      <c r="J2" s="2408"/>
      <c r="K2" s="2408"/>
      <c r="L2" s="2408"/>
      <c r="M2" s="2408"/>
      <c r="N2" s="1759"/>
      <c r="O2" s="1760"/>
      <c r="P2" s="1760"/>
    </row>
    <row r="3" spans="1:45" x14ac:dyDescent="0.25">
      <c r="A3" s="2371" t="s">
        <v>36</v>
      </c>
      <c r="B3" s="2372"/>
      <c r="C3" s="2409" t="s">
        <v>107</v>
      </c>
      <c r="D3" s="2409"/>
      <c r="E3" s="2409"/>
      <c r="F3" s="2409"/>
      <c r="G3" s="2409"/>
      <c r="H3" s="2409"/>
      <c r="I3" s="2409"/>
      <c r="J3" s="2409"/>
      <c r="K3" s="2409"/>
      <c r="L3" s="2409"/>
      <c r="M3" s="2409"/>
      <c r="N3" s="1762"/>
      <c r="O3" s="1762"/>
      <c r="P3" s="1762"/>
    </row>
    <row r="4" spans="1:45" x14ac:dyDescent="0.25">
      <c r="A4" s="2371" t="s">
        <v>108</v>
      </c>
      <c r="B4" s="2372"/>
      <c r="C4" s="2409" t="s">
        <v>32</v>
      </c>
      <c r="D4" s="2409"/>
      <c r="E4" s="2409"/>
      <c r="F4" s="2409"/>
      <c r="G4" s="2409"/>
      <c r="H4" s="2409"/>
      <c r="I4" s="2409"/>
      <c r="J4" s="2409"/>
      <c r="K4" s="2409"/>
      <c r="L4" s="2409"/>
      <c r="M4" s="2409"/>
      <c r="N4" s="1762"/>
      <c r="O4" s="1762"/>
      <c r="P4" s="1762"/>
    </row>
    <row r="5" spans="1:45" s="1764" customFormat="1" x14ac:dyDescent="0.3">
      <c r="A5" s="2371" t="s">
        <v>39</v>
      </c>
      <c r="B5" s="2372"/>
      <c r="C5" s="2373" t="s">
        <v>610</v>
      </c>
      <c r="D5" s="2373"/>
      <c r="E5" s="2373"/>
      <c r="F5" s="2373"/>
      <c r="G5" s="2373"/>
      <c r="H5" s="2373"/>
      <c r="I5" s="2373"/>
      <c r="J5" s="2373"/>
      <c r="K5" s="2373"/>
      <c r="L5" s="2373"/>
      <c r="M5" s="2373"/>
      <c r="N5" s="1763"/>
      <c r="O5" s="1763"/>
      <c r="P5" s="1763"/>
    </row>
    <row r="6" spans="1:45" x14ac:dyDescent="0.25">
      <c r="A6" s="2371" t="s">
        <v>40</v>
      </c>
      <c r="B6" s="2372"/>
      <c r="C6" s="2373" t="s">
        <v>109</v>
      </c>
      <c r="D6" s="2373"/>
      <c r="E6" s="2373"/>
      <c r="F6" s="2373"/>
      <c r="G6" s="2373"/>
      <c r="H6" s="2373"/>
      <c r="I6" s="2373"/>
      <c r="J6" s="2373"/>
      <c r="K6" s="2373"/>
      <c r="L6" s="2373"/>
      <c r="M6" s="2373"/>
      <c r="N6" s="1762"/>
      <c r="O6" s="1762"/>
      <c r="P6" s="1762"/>
    </row>
    <row r="7" spans="1:45" x14ac:dyDescent="0.25">
      <c r="A7" s="2371" t="s">
        <v>42</v>
      </c>
      <c r="B7" s="2372"/>
      <c r="C7" s="2373" t="s">
        <v>43</v>
      </c>
      <c r="D7" s="2373"/>
      <c r="E7" s="2373"/>
      <c r="F7" s="2373"/>
      <c r="G7" s="2373"/>
      <c r="H7" s="2373"/>
      <c r="I7" s="2373"/>
      <c r="J7" s="2373"/>
      <c r="K7" s="2391" t="s">
        <v>705</v>
      </c>
      <c r="L7" s="2391"/>
      <c r="M7" s="2391"/>
      <c r="N7" s="1762"/>
      <c r="O7" s="1762"/>
      <c r="P7" s="1762"/>
    </row>
    <row r="8" spans="1:45" ht="14.4" thickBot="1" x14ac:dyDescent="0.3">
      <c r="A8" s="2392" t="s">
        <v>44</v>
      </c>
      <c r="B8" s="2393"/>
      <c r="C8" s="2394" t="s">
        <v>45</v>
      </c>
      <c r="D8" s="2395"/>
      <c r="E8" s="2395"/>
      <c r="F8" s="2395"/>
      <c r="G8" s="2395"/>
      <c r="H8" s="2396"/>
      <c r="I8" s="2396"/>
      <c r="J8" s="2396"/>
      <c r="K8" s="2396"/>
      <c r="L8" s="2396"/>
      <c r="M8" s="2396"/>
      <c r="N8" s="2397"/>
      <c r="O8" s="2397"/>
      <c r="P8" s="2397"/>
      <c r="Q8" s="2396"/>
      <c r="R8" s="2396"/>
      <c r="S8" s="2396"/>
    </row>
    <row r="9" spans="1:45" ht="14.4" thickTop="1" x14ac:dyDescent="0.25">
      <c r="A9" s="2398"/>
      <c r="B9" s="2399"/>
      <c r="C9" s="2400" t="s">
        <v>48</v>
      </c>
      <c r="D9" s="2401"/>
      <c r="E9" s="2374" t="s">
        <v>98</v>
      </c>
      <c r="F9" s="2375"/>
      <c r="G9" s="2375"/>
      <c r="H9" s="2375"/>
      <c r="I9" s="2375"/>
      <c r="J9" s="2375"/>
      <c r="K9" s="2375"/>
      <c r="L9" s="2375"/>
      <c r="M9" s="2375"/>
      <c r="N9" s="2376"/>
      <c r="O9" s="2402" t="s">
        <v>110</v>
      </c>
      <c r="P9" s="2402"/>
      <c r="Q9" s="2403" t="s">
        <v>111</v>
      </c>
      <c r="R9" s="2404"/>
      <c r="S9" s="2405" t="s">
        <v>52</v>
      </c>
      <c r="T9" s="2405"/>
      <c r="U9" s="2374" t="s">
        <v>53</v>
      </c>
      <c r="V9" s="2375"/>
      <c r="W9" s="2376"/>
      <c r="X9" s="2374" t="s">
        <v>54</v>
      </c>
      <c r="Y9" s="2375"/>
      <c r="Z9" s="2375"/>
      <c r="AA9" s="2377"/>
    </row>
    <row r="10" spans="1:45" ht="96.6" x14ac:dyDescent="0.25">
      <c r="A10" s="1805" t="s">
        <v>99</v>
      </c>
      <c r="B10" s="1806" t="s">
        <v>100</v>
      </c>
      <c r="C10" s="1807" t="s">
        <v>5</v>
      </c>
      <c r="D10" s="1807" t="s">
        <v>112</v>
      </c>
      <c r="E10" s="1807" t="s">
        <v>56</v>
      </c>
      <c r="F10" s="1807" t="s">
        <v>57</v>
      </c>
      <c r="G10" s="1807" t="s">
        <v>101</v>
      </c>
      <c r="H10" s="2378" t="s">
        <v>59</v>
      </c>
      <c r="I10" s="2378"/>
      <c r="J10" s="2378"/>
      <c r="K10" s="2379"/>
      <c r="L10" s="1808" t="s">
        <v>113</v>
      </c>
      <c r="M10" s="1808" t="s">
        <v>61</v>
      </c>
      <c r="N10" s="1808" t="s">
        <v>62</v>
      </c>
      <c r="O10" s="1808" t="s">
        <v>63</v>
      </c>
      <c r="P10" s="1807" t="s">
        <v>64</v>
      </c>
      <c r="Q10" s="1807" t="s">
        <v>114</v>
      </c>
      <c r="R10" s="1807" t="s">
        <v>115</v>
      </c>
      <c r="S10" s="1807" t="s">
        <v>67</v>
      </c>
      <c r="T10" s="1807" t="s">
        <v>64</v>
      </c>
      <c r="U10" s="1809" t="s">
        <v>116</v>
      </c>
      <c r="V10" s="1807" t="s">
        <v>69</v>
      </c>
      <c r="W10" s="1807" t="s">
        <v>70</v>
      </c>
      <c r="X10" s="1807" t="s">
        <v>102</v>
      </c>
      <c r="Y10" s="1807" t="s">
        <v>117</v>
      </c>
      <c r="Z10" s="1807" t="s">
        <v>118</v>
      </c>
      <c r="AA10" s="1810" t="s">
        <v>119</v>
      </c>
    </row>
    <row r="11" spans="1:45" ht="27.6" x14ac:dyDescent="0.25">
      <c r="A11" s="1811"/>
      <c r="B11" s="1812"/>
      <c r="C11" s="1765"/>
      <c r="D11" s="1766"/>
      <c r="E11" s="1767"/>
      <c r="F11" s="1765"/>
      <c r="G11" s="1767"/>
      <c r="H11" s="1767" t="s">
        <v>75</v>
      </c>
      <c r="I11" s="1813" t="s">
        <v>76</v>
      </c>
      <c r="J11" s="1814" t="s">
        <v>77</v>
      </c>
      <c r="K11" s="1815" t="s">
        <v>78</v>
      </c>
      <c r="L11" s="1767"/>
      <c r="M11" s="1768"/>
      <c r="N11" s="1769"/>
      <c r="O11" s="1770" t="s">
        <v>121</v>
      </c>
      <c r="P11" s="1770" t="s">
        <v>80</v>
      </c>
      <c r="Q11" s="1770" t="s">
        <v>122</v>
      </c>
      <c r="R11" s="1770" t="s">
        <v>82</v>
      </c>
      <c r="S11" s="1770" t="s">
        <v>123</v>
      </c>
      <c r="T11" s="1771" t="s">
        <v>124</v>
      </c>
      <c r="U11" s="1770" t="s">
        <v>85</v>
      </c>
      <c r="V11" s="1771" t="s">
        <v>124</v>
      </c>
      <c r="W11" s="1771" t="s">
        <v>83</v>
      </c>
      <c r="X11" s="1772" t="s">
        <v>103</v>
      </c>
      <c r="Y11" s="1772" t="s">
        <v>83</v>
      </c>
      <c r="Z11" s="1772" t="s">
        <v>125</v>
      </c>
      <c r="AA11" s="1772" t="s">
        <v>126</v>
      </c>
    </row>
    <row r="12" spans="1:45" x14ac:dyDescent="0.25">
      <c r="A12" s="1816">
        <v>1</v>
      </c>
      <c r="B12" s="1817" t="s">
        <v>956</v>
      </c>
      <c r="C12" s="1773"/>
      <c r="D12" s="1774"/>
      <c r="E12" s="1775"/>
      <c r="F12" s="1773"/>
      <c r="G12" s="1775"/>
      <c r="H12" s="1775"/>
      <c r="I12" s="1818"/>
      <c r="J12" s="1819"/>
      <c r="K12" s="1820"/>
      <c r="L12" s="1775"/>
      <c r="M12" s="1776"/>
      <c r="N12" s="1777"/>
      <c r="O12" s="1778"/>
      <c r="P12" s="1778"/>
      <c r="Q12" s="1778"/>
      <c r="R12" s="1778"/>
      <c r="S12" s="1778"/>
      <c r="T12" s="1779"/>
      <c r="U12" s="1778"/>
      <c r="V12" s="1779"/>
      <c r="W12" s="1779"/>
      <c r="X12" s="1780"/>
      <c r="Y12" s="1780"/>
      <c r="Z12" s="1780"/>
      <c r="AA12" s="1780"/>
    </row>
    <row r="13" spans="1:45" s="536" customFormat="1" x14ac:dyDescent="0.25">
      <c r="A13" s="2421">
        <v>1.1000000000000001</v>
      </c>
      <c r="B13" s="2098" t="s">
        <v>412</v>
      </c>
      <c r="C13" s="2205" t="s">
        <v>3</v>
      </c>
      <c r="D13" s="2261">
        <v>1</v>
      </c>
      <c r="E13" s="2206" t="s">
        <v>978</v>
      </c>
      <c r="F13" s="2205"/>
      <c r="G13" s="2263">
        <v>5000000</v>
      </c>
      <c r="H13" s="2209">
        <f>I13</f>
        <v>1140746.0239439905</v>
      </c>
      <c r="I13" s="2209">
        <f>J13*0.419622103020793</f>
        <v>1140746.0239439905</v>
      </c>
      <c r="J13" s="2209">
        <f>G13/1.83924420604159</f>
        <v>2718507.9521120088</v>
      </c>
      <c r="K13" s="2205"/>
      <c r="L13" s="2206" t="s">
        <v>96</v>
      </c>
      <c r="M13" s="2205" t="s">
        <v>91</v>
      </c>
      <c r="N13" s="1781" t="s">
        <v>92</v>
      </c>
      <c r="O13" s="550">
        <f t="shared" ref="O13:P13" si="0">P13-7</f>
        <v>44137</v>
      </c>
      <c r="P13" s="551">
        <f t="shared" si="0"/>
        <v>44144</v>
      </c>
      <c r="Q13" s="552">
        <v>44151</v>
      </c>
      <c r="R13" s="552">
        <f>Q13+30</f>
        <v>44181</v>
      </c>
      <c r="S13" s="552">
        <f t="shared" ref="S13" si="1">R13+14</f>
        <v>44195</v>
      </c>
      <c r="T13" s="552">
        <f t="shared" ref="T13" si="2">S13+7</f>
        <v>44202</v>
      </c>
      <c r="U13" s="619"/>
      <c r="V13" s="552">
        <f t="shared" ref="V13" si="3">T13+7</f>
        <v>44209</v>
      </c>
      <c r="W13" s="553">
        <f t="shared" ref="W13" si="4">V13+7</f>
        <v>44216</v>
      </c>
      <c r="X13" s="554">
        <f>W13+7</f>
        <v>44223</v>
      </c>
      <c r="Y13" s="554">
        <v>44561</v>
      </c>
      <c r="Z13" s="554">
        <f t="shared" ref="Z13" si="5">Y13+365</f>
        <v>44926</v>
      </c>
      <c r="AA13" s="620"/>
      <c r="AB13" s="523"/>
      <c r="AC13" s="523"/>
      <c r="AD13" s="602"/>
      <c r="AE13" s="523"/>
      <c r="AF13" s="523"/>
      <c r="AG13" s="523"/>
      <c r="AH13" s="523"/>
      <c r="AI13" s="523"/>
      <c r="AJ13" s="523"/>
      <c r="AK13" s="523"/>
      <c r="AL13" s="523"/>
      <c r="AM13" s="523"/>
      <c r="AN13" s="523"/>
      <c r="AO13" s="523"/>
      <c r="AP13" s="523"/>
      <c r="AQ13" s="523"/>
      <c r="AR13" s="523"/>
      <c r="AS13" s="523"/>
    </row>
    <row r="14" spans="1:45" s="523" customFormat="1" x14ac:dyDescent="0.25">
      <c r="A14" s="2421"/>
      <c r="B14" s="2098"/>
      <c r="C14" s="2205"/>
      <c r="D14" s="2205"/>
      <c r="E14" s="2207"/>
      <c r="F14" s="2205"/>
      <c r="G14" s="2263"/>
      <c r="H14" s="2210"/>
      <c r="I14" s="2210"/>
      <c r="J14" s="2210"/>
      <c r="K14" s="2205"/>
      <c r="L14" s="2207"/>
      <c r="M14" s="2205"/>
      <c r="N14" s="1781" t="s">
        <v>93</v>
      </c>
      <c r="O14" s="1782"/>
      <c r="P14" s="1783"/>
      <c r="Q14" s="1782"/>
      <c r="R14" s="1782"/>
      <c r="S14" s="1782"/>
      <c r="T14" s="1783"/>
      <c r="U14" s="621"/>
      <c r="V14" s="1784"/>
      <c r="W14" s="1785"/>
      <c r="X14" s="1786"/>
      <c r="Y14" s="568"/>
      <c r="Z14" s="1786"/>
      <c r="AA14" s="598"/>
      <c r="AD14" s="602"/>
    </row>
    <row r="15" spans="1:45" s="523" customFormat="1" x14ac:dyDescent="0.25">
      <c r="A15" s="2421"/>
      <c r="B15" s="2098"/>
      <c r="C15" s="2205"/>
      <c r="D15" s="2205"/>
      <c r="E15" s="2208"/>
      <c r="F15" s="2205"/>
      <c r="G15" s="2263"/>
      <c r="H15" s="2211"/>
      <c r="I15" s="2211"/>
      <c r="J15" s="2211"/>
      <c r="K15" s="2205"/>
      <c r="L15" s="2208"/>
      <c r="M15" s="2205"/>
      <c r="N15" s="1781" t="s">
        <v>94</v>
      </c>
      <c r="O15" s="1787"/>
      <c r="P15" s="561"/>
      <c r="Q15" s="1784"/>
      <c r="R15" s="1784"/>
      <c r="S15" s="1788"/>
      <c r="T15" s="1788"/>
      <c r="U15" s="623"/>
      <c r="V15" s="1788"/>
      <c r="W15" s="1785"/>
      <c r="X15" s="1786"/>
      <c r="Y15" s="535"/>
      <c r="Z15" s="535"/>
      <c r="AA15" s="598"/>
      <c r="AD15" s="602"/>
    </row>
    <row r="16" spans="1:45" s="523" customFormat="1" x14ac:dyDescent="0.25">
      <c r="A16" s="2421">
        <v>1.2</v>
      </c>
      <c r="B16" s="2098" t="s">
        <v>519</v>
      </c>
      <c r="C16" s="2205" t="s">
        <v>3</v>
      </c>
      <c r="D16" s="2261">
        <v>2</v>
      </c>
      <c r="E16" s="2206" t="s">
        <v>979</v>
      </c>
      <c r="F16" s="2205"/>
      <c r="G16" s="2263">
        <f>2*4018603.09</f>
        <v>8037206.1799999997</v>
      </c>
      <c r="H16" s="2209">
        <f>I16</f>
        <v>1833682.1986906135</v>
      </c>
      <c r="I16" s="2209">
        <f>J16*0.419622103020793</f>
        <v>1833682.1986906135</v>
      </c>
      <c r="J16" s="2209">
        <f>G16/1.83924420604159</f>
        <v>4369841.7826187564</v>
      </c>
      <c r="K16" s="2205"/>
      <c r="L16" s="2206" t="s">
        <v>96</v>
      </c>
      <c r="M16" s="2205" t="s">
        <v>91</v>
      </c>
      <c r="N16" s="1781" t="s">
        <v>92</v>
      </c>
      <c r="O16" s="550">
        <f t="shared" ref="O16" si="6">P16-7</f>
        <v>44137</v>
      </c>
      <c r="P16" s="551">
        <f t="shared" ref="P16" si="7">Q16-7</f>
        <v>44144</v>
      </c>
      <c r="Q16" s="552">
        <v>44151</v>
      </c>
      <c r="R16" s="552">
        <f>Q16+30</f>
        <v>44181</v>
      </c>
      <c r="S16" s="552">
        <f t="shared" ref="S16" si="8">R16+14</f>
        <v>44195</v>
      </c>
      <c r="T16" s="552">
        <f t="shared" ref="T16" si="9">S16+7</f>
        <v>44202</v>
      </c>
      <c r="U16" s="619"/>
      <c r="V16" s="552">
        <f t="shared" ref="V16" si="10">T16+7</f>
        <v>44209</v>
      </c>
      <c r="W16" s="553">
        <f t="shared" ref="W16" si="11">V16+7</f>
        <v>44216</v>
      </c>
      <c r="X16" s="554">
        <f>W16+7</f>
        <v>44223</v>
      </c>
      <c r="Y16" s="554">
        <v>44561</v>
      </c>
      <c r="Z16" s="554">
        <f t="shared" ref="Z16" si="12">Y16+365</f>
        <v>44926</v>
      </c>
      <c r="AA16" s="620"/>
      <c r="AD16" s="602"/>
    </row>
    <row r="17" spans="1:30" s="523" customFormat="1" x14ac:dyDescent="0.25">
      <c r="A17" s="2421"/>
      <c r="B17" s="2098"/>
      <c r="C17" s="2205"/>
      <c r="D17" s="2205"/>
      <c r="E17" s="2207"/>
      <c r="F17" s="2205"/>
      <c r="G17" s="2263"/>
      <c r="H17" s="2210"/>
      <c r="I17" s="2210"/>
      <c r="J17" s="2210"/>
      <c r="K17" s="2205"/>
      <c r="L17" s="2207"/>
      <c r="M17" s="2205"/>
      <c r="N17" s="1781" t="s">
        <v>93</v>
      </c>
      <c r="O17" s="1782"/>
      <c r="P17" s="1783"/>
      <c r="Q17" s="1782"/>
      <c r="R17" s="1782"/>
      <c r="S17" s="1782"/>
      <c r="T17" s="1783"/>
      <c r="U17" s="621"/>
      <c r="V17" s="1784"/>
      <c r="W17" s="1785"/>
      <c r="X17" s="1786"/>
      <c r="Y17" s="568"/>
      <c r="Z17" s="1786"/>
      <c r="AA17" s="598"/>
      <c r="AD17" s="602"/>
    </row>
    <row r="18" spans="1:30" s="523" customFormat="1" x14ac:dyDescent="0.25">
      <c r="A18" s="2421"/>
      <c r="B18" s="2098"/>
      <c r="C18" s="2205"/>
      <c r="D18" s="2205"/>
      <c r="E18" s="2208"/>
      <c r="F18" s="2205"/>
      <c r="G18" s="2263"/>
      <c r="H18" s="2211"/>
      <c r="I18" s="2211"/>
      <c r="J18" s="2211"/>
      <c r="K18" s="2205"/>
      <c r="L18" s="2208"/>
      <c r="M18" s="2205"/>
      <c r="N18" s="1987" t="s">
        <v>94</v>
      </c>
      <c r="O18" s="1988"/>
      <c r="P18" s="1265"/>
      <c r="Q18" s="1784"/>
      <c r="R18" s="1784"/>
      <c r="S18" s="1788"/>
      <c r="T18" s="1788"/>
      <c r="U18" s="623"/>
      <c r="V18" s="1788"/>
      <c r="W18" s="1785"/>
      <c r="X18" s="1786"/>
      <c r="Y18" s="535"/>
      <c r="Z18" s="535"/>
      <c r="AA18" s="598"/>
      <c r="AD18" s="602"/>
    </row>
    <row r="19" spans="1:30" s="523" customFormat="1" x14ac:dyDescent="0.25">
      <c r="A19" s="2421">
        <v>1.2</v>
      </c>
      <c r="B19" s="2098" t="s">
        <v>1048</v>
      </c>
      <c r="C19" s="2205" t="s">
        <v>3</v>
      </c>
      <c r="D19" s="2261">
        <v>2</v>
      </c>
      <c r="E19" s="2206" t="s">
        <v>1058</v>
      </c>
      <c r="F19" s="2205"/>
      <c r="G19" s="2263">
        <f>2*5514769.46</f>
        <v>11029538.92</v>
      </c>
      <c r="H19" s="2209">
        <f>I19</f>
        <v>2516380.5337850987</v>
      </c>
      <c r="I19" s="2209">
        <f>J19*0.419622103020793</f>
        <v>2516380.5337850987</v>
      </c>
      <c r="J19" s="2209">
        <f>G19/1.83924420604159</f>
        <v>5996777.8524297792</v>
      </c>
      <c r="K19" s="2205"/>
      <c r="L19" s="2206" t="s">
        <v>96</v>
      </c>
      <c r="M19" s="2205" t="s">
        <v>91</v>
      </c>
      <c r="N19" s="1781" t="s">
        <v>92</v>
      </c>
      <c r="O19" s="550">
        <f t="shared" ref="O19" si="13">P19-7</f>
        <v>44137</v>
      </c>
      <c r="P19" s="551">
        <f t="shared" ref="P19" si="14">Q19-7</f>
        <v>44144</v>
      </c>
      <c r="Q19" s="552">
        <v>44151</v>
      </c>
      <c r="R19" s="552">
        <f>Q19+30</f>
        <v>44181</v>
      </c>
      <c r="S19" s="552">
        <f t="shared" ref="S19" si="15">R19+14</f>
        <v>44195</v>
      </c>
      <c r="T19" s="552">
        <f t="shared" ref="T19" si="16">S19+7</f>
        <v>44202</v>
      </c>
      <c r="U19" s="619"/>
      <c r="V19" s="552">
        <f t="shared" ref="V19" si="17">T19+7</f>
        <v>44209</v>
      </c>
      <c r="W19" s="553">
        <f t="shared" ref="W19" si="18">V19+7</f>
        <v>44216</v>
      </c>
      <c r="X19" s="554">
        <f>W19+7</f>
        <v>44223</v>
      </c>
      <c r="Y19" s="554">
        <v>44561</v>
      </c>
      <c r="Z19" s="554">
        <f t="shared" ref="Z19" si="19">Y19+365</f>
        <v>44926</v>
      </c>
      <c r="AA19" s="620"/>
      <c r="AD19" s="602"/>
    </row>
    <row r="20" spans="1:30" s="523" customFormat="1" x14ac:dyDescent="0.25">
      <c r="A20" s="2421"/>
      <c r="B20" s="2098"/>
      <c r="C20" s="2205"/>
      <c r="D20" s="2205"/>
      <c r="E20" s="2207"/>
      <c r="F20" s="2205"/>
      <c r="G20" s="2263"/>
      <c r="H20" s="2210"/>
      <c r="I20" s="2210"/>
      <c r="J20" s="2210"/>
      <c r="K20" s="2205"/>
      <c r="L20" s="2207"/>
      <c r="M20" s="2205"/>
      <c r="N20" s="1781" t="s">
        <v>93</v>
      </c>
      <c r="O20" s="1782"/>
      <c r="P20" s="1783"/>
      <c r="Q20" s="1782"/>
      <c r="R20" s="1782"/>
      <c r="S20" s="1782"/>
      <c r="T20" s="1783"/>
      <c r="U20" s="621"/>
      <c r="V20" s="1784"/>
      <c r="W20" s="1785"/>
      <c r="X20" s="1786"/>
      <c r="Y20" s="568"/>
      <c r="Z20" s="1786"/>
      <c r="AA20" s="598"/>
      <c r="AD20" s="602"/>
    </row>
    <row r="21" spans="1:30" s="523" customFormat="1" x14ac:dyDescent="0.25">
      <c r="A21" s="2421"/>
      <c r="B21" s="2098"/>
      <c r="C21" s="2205"/>
      <c r="D21" s="2205"/>
      <c r="E21" s="2208"/>
      <c r="F21" s="2205"/>
      <c r="G21" s="2263"/>
      <c r="H21" s="2211"/>
      <c r="I21" s="2211"/>
      <c r="J21" s="2211"/>
      <c r="K21" s="2205"/>
      <c r="L21" s="2208"/>
      <c r="M21" s="2205"/>
      <c r="N21" s="1987" t="s">
        <v>94</v>
      </c>
      <c r="O21" s="1988"/>
      <c r="P21" s="1265"/>
      <c r="Q21" s="1784"/>
      <c r="R21" s="1784"/>
      <c r="S21" s="1788"/>
      <c r="T21" s="1788"/>
      <c r="U21" s="623"/>
      <c r="V21" s="1788"/>
      <c r="W21" s="1785"/>
      <c r="X21" s="1786"/>
      <c r="Y21" s="535"/>
      <c r="Z21" s="535"/>
      <c r="AA21" s="598"/>
      <c r="AD21" s="602"/>
    </row>
    <row r="22" spans="1:30" x14ac:dyDescent="0.25">
      <c r="A22" s="1789"/>
      <c r="B22" s="1789" t="s">
        <v>407</v>
      </c>
      <c r="C22" s="1789"/>
      <c r="D22" s="1789"/>
      <c r="E22" s="1789"/>
      <c r="F22" s="1789"/>
      <c r="G22" s="1857">
        <f>SUM(G13:G21)</f>
        <v>24066745.100000001</v>
      </c>
      <c r="H22" s="1857">
        <f t="shared" ref="H22:J22" si="20">SUM(H13:H21)</f>
        <v>5490808.7564197034</v>
      </c>
      <c r="I22" s="1857">
        <f t="shared" si="20"/>
        <v>5490808.7564197034</v>
      </c>
      <c r="J22" s="1857">
        <f t="shared" si="20"/>
        <v>13085127.587160544</v>
      </c>
      <c r="K22" s="1789"/>
      <c r="L22" s="1789"/>
      <c r="M22" s="1789"/>
      <c r="N22" s="1790"/>
      <c r="O22" s="1791"/>
      <c r="P22" s="1791"/>
      <c r="Q22" s="1791"/>
      <c r="R22" s="1791"/>
      <c r="S22" s="1791"/>
      <c r="T22" s="1792"/>
      <c r="U22" s="1791"/>
      <c r="V22" s="1792"/>
      <c r="W22" s="1792"/>
      <c r="X22" s="1793"/>
      <c r="Y22" s="1793"/>
      <c r="Z22" s="1793"/>
      <c r="AA22" s="1793"/>
    </row>
    <row r="23" spans="1:30" x14ac:dyDescent="0.25">
      <c r="A23" s="2423">
        <v>2</v>
      </c>
      <c r="B23" s="2425" t="s">
        <v>127</v>
      </c>
      <c r="C23" s="2427"/>
      <c r="D23" s="2429"/>
      <c r="E23" s="2431"/>
      <c r="F23" s="2432"/>
      <c r="G23" s="2380"/>
      <c r="H23" s="2380"/>
      <c r="I23" s="2380"/>
      <c r="J23" s="2380"/>
      <c r="K23" s="2380"/>
      <c r="L23" s="2382"/>
      <c r="M23" s="2383"/>
      <c r="N23" s="2383"/>
      <c r="O23" s="2383"/>
      <c r="P23" s="2383"/>
      <c r="Q23" s="2383"/>
      <c r="R23" s="2383"/>
      <c r="S23" s="2383"/>
      <c r="T23" s="2383"/>
      <c r="U23" s="2383"/>
      <c r="V23" s="2383"/>
      <c r="W23" s="2383"/>
      <c r="X23" s="2383"/>
      <c r="Y23" s="2383"/>
      <c r="Z23" s="2383"/>
      <c r="AA23" s="2384"/>
    </row>
    <row r="24" spans="1:30" x14ac:dyDescent="0.25">
      <c r="A24" s="2424"/>
      <c r="B24" s="2426"/>
      <c r="C24" s="2428"/>
      <c r="D24" s="2430"/>
      <c r="E24" s="2431"/>
      <c r="F24" s="2433"/>
      <c r="G24" s="2381"/>
      <c r="H24" s="2381"/>
      <c r="I24" s="2381"/>
      <c r="J24" s="2381"/>
      <c r="K24" s="2381"/>
      <c r="L24" s="2385"/>
      <c r="M24" s="2386"/>
      <c r="N24" s="2386"/>
      <c r="O24" s="2386"/>
      <c r="P24" s="2386"/>
      <c r="Q24" s="2386"/>
      <c r="R24" s="2386"/>
      <c r="S24" s="2386"/>
      <c r="T24" s="2386"/>
      <c r="U24" s="2386"/>
      <c r="V24" s="2386"/>
      <c r="W24" s="2386"/>
      <c r="X24" s="2386"/>
      <c r="Y24" s="2386"/>
      <c r="Z24" s="2386"/>
      <c r="AA24" s="2387"/>
    </row>
    <row r="25" spans="1:30" x14ac:dyDescent="0.25">
      <c r="A25" s="2424"/>
      <c r="B25" s="2426"/>
      <c r="C25" s="2428"/>
      <c r="D25" s="2430"/>
      <c r="E25" s="2431"/>
      <c r="F25" s="2433"/>
      <c r="G25" s="2381"/>
      <c r="H25" s="2381"/>
      <c r="I25" s="2381"/>
      <c r="J25" s="2381"/>
      <c r="K25" s="2381"/>
      <c r="L25" s="2388"/>
      <c r="M25" s="2389"/>
      <c r="N25" s="2389"/>
      <c r="O25" s="2389"/>
      <c r="P25" s="2389"/>
      <c r="Q25" s="2389"/>
      <c r="R25" s="2389"/>
      <c r="S25" s="2389"/>
      <c r="T25" s="2389"/>
      <c r="U25" s="2389"/>
      <c r="V25" s="2389"/>
      <c r="W25" s="2389"/>
      <c r="X25" s="2389"/>
      <c r="Y25" s="2389"/>
      <c r="Z25" s="2389"/>
      <c r="AA25" s="2390"/>
    </row>
    <row r="26" spans="1:30" x14ac:dyDescent="0.25">
      <c r="A26" s="2422">
        <v>2.1</v>
      </c>
      <c r="B26" s="2410" t="s">
        <v>694</v>
      </c>
      <c r="C26" s="2367" t="s">
        <v>3</v>
      </c>
      <c r="D26" s="2411">
        <v>7</v>
      </c>
      <c r="E26" s="2437" t="s">
        <v>1059</v>
      </c>
      <c r="F26" s="2434"/>
      <c r="G26" s="2367">
        <v>630000</v>
      </c>
      <c r="H26" s="2368">
        <f>J26*0.414561030583245</f>
        <v>142786.2332494561</v>
      </c>
      <c r="I26" s="2368">
        <f>H26</f>
        <v>142786.2332494561</v>
      </c>
      <c r="J26" s="2368">
        <f>G26/1.82912206116649</f>
        <v>344427.5335010878</v>
      </c>
      <c r="K26" s="2367"/>
      <c r="L26" s="2070" t="s">
        <v>96</v>
      </c>
      <c r="M26" s="2367"/>
      <c r="N26" s="1794" t="s">
        <v>92</v>
      </c>
      <c r="O26" s="1795">
        <v>44096</v>
      </c>
      <c r="P26" s="1795">
        <v>44110</v>
      </c>
      <c r="Q26" s="1821">
        <v>44144</v>
      </c>
      <c r="R26" s="1821">
        <f>Q26+16</f>
        <v>44160</v>
      </c>
      <c r="S26" s="1795">
        <f>R26+7</f>
        <v>44167</v>
      </c>
      <c r="T26" s="1795">
        <f>S26+7</f>
        <v>44174</v>
      </c>
      <c r="U26" s="1795"/>
      <c r="V26" s="1821">
        <f>T26+7</f>
        <v>44181</v>
      </c>
      <c r="W26" s="1821">
        <f>V26+12</f>
        <v>44193</v>
      </c>
      <c r="X26" s="1795">
        <v>44181</v>
      </c>
      <c r="Y26" s="1795" t="s">
        <v>104</v>
      </c>
      <c r="Z26" s="1795">
        <v>44188</v>
      </c>
      <c r="AA26" s="1795">
        <f>Z26+15</f>
        <v>44203</v>
      </c>
    </row>
    <row r="27" spans="1:30" x14ac:dyDescent="0.25">
      <c r="A27" s="2422"/>
      <c r="B27" s="2410"/>
      <c r="C27" s="2367"/>
      <c r="D27" s="2411"/>
      <c r="E27" s="2437"/>
      <c r="F27" s="2435"/>
      <c r="G27" s="2367"/>
      <c r="H27" s="2369"/>
      <c r="I27" s="2369"/>
      <c r="J27" s="2369"/>
      <c r="K27" s="2367"/>
      <c r="L27" s="2071"/>
      <c r="M27" s="2367"/>
      <c r="N27" s="1794" t="s">
        <v>93</v>
      </c>
      <c r="O27" s="1795"/>
      <c r="Q27" s="1796"/>
      <c r="R27" s="1797"/>
      <c r="S27" s="1797"/>
      <c r="T27" s="1797"/>
      <c r="U27" s="1797"/>
      <c r="V27" s="1797"/>
      <c r="W27" s="1797"/>
      <c r="X27" s="1797"/>
      <c r="Y27" s="1797"/>
      <c r="Z27" s="1797"/>
      <c r="AA27" s="1797"/>
    </row>
    <row r="28" spans="1:30" x14ac:dyDescent="0.25">
      <c r="A28" s="2422"/>
      <c r="B28" s="2410"/>
      <c r="C28" s="2367"/>
      <c r="D28" s="2411"/>
      <c r="E28" s="2437"/>
      <c r="F28" s="2436"/>
      <c r="G28" s="2367"/>
      <c r="H28" s="2370"/>
      <c r="I28" s="2370"/>
      <c r="J28" s="2369"/>
      <c r="K28" s="2367"/>
      <c r="L28" s="2071"/>
      <c r="M28" s="2367"/>
      <c r="N28" s="1794" t="s">
        <v>94</v>
      </c>
      <c r="O28" s="1795"/>
      <c r="P28" s="1796"/>
      <c r="Q28" s="1797"/>
      <c r="R28" s="1797"/>
      <c r="S28" s="1797"/>
      <c r="T28" s="1797"/>
      <c r="U28" s="1797"/>
      <c r="V28" s="1797"/>
      <c r="W28" s="1797"/>
      <c r="X28" s="1797"/>
      <c r="Y28" s="1797"/>
      <c r="Z28" s="1797"/>
      <c r="AA28" s="1797"/>
    </row>
    <row r="29" spans="1:30" x14ac:dyDescent="0.25">
      <c r="A29" s="2422">
        <v>2.2000000000000002</v>
      </c>
      <c r="B29" s="2410" t="s">
        <v>698</v>
      </c>
      <c r="C29" s="2367" t="s">
        <v>3</v>
      </c>
      <c r="D29" s="2411">
        <v>1</v>
      </c>
      <c r="E29" s="2437"/>
      <c r="F29" s="2411"/>
      <c r="G29" s="2367">
        <v>300162.02</v>
      </c>
      <c r="H29" s="2368">
        <f t="shared" ref="H29" si="21">J29*0.414561030583245</f>
        <v>68030.165397377627</v>
      </c>
      <c r="I29" s="2368">
        <f t="shared" ref="I29" si="22">H29</f>
        <v>68030.165397377627</v>
      </c>
      <c r="J29" s="2368">
        <f t="shared" ref="J29" si="23">G29/1.82912206116649</f>
        <v>164101.68920524474</v>
      </c>
      <c r="K29" s="2367"/>
      <c r="L29" s="2070" t="s">
        <v>96</v>
      </c>
      <c r="M29" s="2367"/>
      <c r="N29" s="1794" t="s">
        <v>92</v>
      </c>
      <c r="O29" s="1795">
        <v>44096</v>
      </c>
      <c r="P29" s="1795">
        <v>44110</v>
      </c>
      <c r="Q29" s="1821">
        <v>44144</v>
      </c>
      <c r="R29" s="1821">
        <f>Q29+16</f>
        <v>44160</v>
      </c>
      <c r="S29" s="1795">
        <f>R29+7</f>
        <v>44167</v>
      </c>
      <c r="T29" s="1795">
        <f>S29+7</f>
        <v>44174</v>
      </c>
      <c r="U29" s="1795"/>
      <c r="V29" s="1821">
        <f>T29+7</f>
        <v>44181</v>
      </c>
      <c r="W29" s="1821">
        <f>V29+12</f>
        <v>44193</v>
      </c>
      <c r="X29" s="1795">
        <v>44181</v>
      </c>
      <c r="Y29" s="1795" t="s">
        <v>104</v>
      </c>
      <c r="Z29" s="1795">
        <v>44188</v>
      </c>
      <c r="AA29" s="1795">
        <f>Z29+15</f>
        <v>44203</v>
      </c>
    </row>
    <row r="30" spans="1:30" x14ac:dyDescent="0.25">
      <c r="A30" s="2422"/>
      <c r="B30" s="2410"/>
      <c r="C30" s="2367"/>
      <c r="D30" s="2411"/>
      <c r="E30" s="2437"/>
      <c r="F30" s="2411"/>
      <c r="G30" s="2367"/>
      <c r="H30" s="2369"/>
      <c r="I30" s="2369"/>
      <c r="J30" s="2369"/>
      <c r="K30" s="2367"/>
      <c r="L30" s="2071"/>
      <c r="M30" s="2367"/>
      <c r="N30" s="1794" t="s">
        <v>93</v>
      </c>
      <c r="O30" s="1795"/>
      <c r="P30" s="1796"/>
      <c r="Q30" s="1797"/>
      <c r="R30" s="1797"/>
      <c r="S30" s="1797"/>
      <c r="T30" s="1797"/>
      <c r="U30" s="1797"/>
      <c r="V30" s="1797"/>
      <c r="W30" s="1797"/>
      <c r="X30" s="1797"/>
      <c r="Y30" s="1797"/>
      <c r="Z30" s="1797"/>
      <c r="AA30" s="1797"/>
    </row>
    <row r="31" spans="1:30" x14ac:dyDescent="0.25">
      <c r="A31" s="2422"/>
      <c r="B31" s="2410"/>
      <c r="C31" s="2367"/>
      <c r="D31" s="2411"/>
      <c r="E31" s="2437"/>
      <c r="F31" s="2411"/>
      <c r="G31" s="2367"/>
      <c r="H31" s="2370"/>
      <c r="I31" s="2370"/>
      <c r="J31" s="2369"/>
      <c r="K31" s="2367"/>
      <c r="L31" s="2071"/>
      <c r="M31" s="2367"/>
      <c r="N31" s="1794" t="s">
        <v>94</v>
      </c>
      <c r="O31" s="1795"/>
      <c r="P31" s="1796"/>
      <c r="Q31" s="1797"/>
      <c r="R31" s="1797"/>
      <c r="S31" s="1797"/>
      <c r="T31" s="1797"/>
      <c r="U31" s="1797"/>
      <c r="V31" s="1797"/>
      <c r="W31" s="1797"/>
      <c r="X31" s="1797"/>
      <c r="Y31" s="1797"/>
      <c r="Z31" s="1797"/>
      <c r="AA31" s="1797"/>
    </row>
    <row r="32" spans="1:30" x14ac:dyDescent="0.25">
      <c r="A32" s="2422">
        <v>2.2999999999999998</v>
      </c>
      <c r="B32" s="2415" t="s">
        <v>695</v>
      </c>
      <c r="C32" s="2367" t="s">
        <v>3</v>
      </c>
      <c r="D32" s="2411">
        <v>23</v>
      </c>
      <c r="E32" s="2437"/>
      <c r="F32" s="2434"/>
      <c r="G32" s="2367">
        <v>450000</v>
      </c>
      <c r="H32" s="2368">
        <f t="shared" ref="H32" si="24">J32*0.414561030583245</f>
        <v>101990.16660675436</v>
      </c>
      <c r="I32" s="2368">
        <f t="shared" ref="I32" si="25">H32</f>
        <v>101990.16660675436</v>
      </c>
      <c r="J32" s="2368">
        <f t="shared" ref="J32" si="26">G32/1.82912206116649</f>
        <v>246019.66678649129</v>
      </c>
      <c r="K32" s="2367"/>
      <c r="L32" s="2070" t="s">
        <v>96</v>
      </c>
      <c r="M32" s="2367"/>
      <c r="N32" s="1794" t="s">
        <v>92</v>
      </c>
      <c r="O32" s="1795">
        <v>44096</v>
      </c>
      <c r="P32" s="1795">
        <v>44110</v>
      </c>
      <c r="Q32" s="1821">
        <v>44144</v>
      </c>
      <c r="R32" s="1821">
        <f>Q32+16</f>
        <v>44160</v>
      </c>
      <c r="S32" s="1795">
        <f>R32+7</f>
        <v>44167</v>
      </c>
      <c r="T32" s="1795">
        <f>S32+7</f>
        <v>44174</v>
      </c>
      <c r="U32" s="1795"/>
      <c r="V32" s="1821">
        <f>T32+7</f>
        <v>44181</v>
      </c>
      <c r="W32" s="1821">
        <f>V32+12</f>
        <v>44193</v>
      </c>
      <c r="X32" s="1795">
        <v>44181</v>
      </c>
      <c r="Y32" s="1795" t="s">
        <v>104</v>
      </c>
      <c r="Z32" s="1795">
        <v>44188</v>
      </c>
      <c r="AA32" s="1795">
        <f>Z32+15</f>
        <v>44203</v>
      </c>
    </row>
    <row r="33" spans="1:27" x14ac:dyDescent="0.25">
      <c r="A33" s="2422"/>
      <c r="B33" s="2416"/>
      <c r="C33" s="2367"/>
      <c r="D33" s="2411"/>
      <c r="E33" s="2437"/>
      <c r="F33" s="2435"/>
      <c r="G33" s="2367"/>
      <c r="H33" s="2369"/>
      <c r="I33" s="2369"/>
      <c r="J33" s="2369"/>
      <c r="K33" s="2367"/>
      <c r="L33" s="2071"/>
      <c r="M33" s="2367"/>
      <c r="N33" s="1794" t="s">
        <v>93</v>
      </c>
      <c r="O33" s="1795"/>
      <c r="P33" s="1796"/>
      <c r="Q33" s="1797"/>
      <c r="R33" s="1797"/>
      <c r="S33" s="1797"/>
      <c r="T33" s="1797"/>
      <c r="U33" s="1797"/>
      <c r="V33" s="1797"/>
      <c r="W33" s="1797"/>
      <c r="X33" s="1797"/>
      <c r="Y33" s="1797"/>
      <c r="Z33" s="1797"/>
      <c r="AA33" s="1797"/>
    </row>
    <row r="34" spans="1:27" x14ac:dyDescent="0.25">
      <c r="A34" s="2422"/>
      <c r="B34" s="2417"/>
      <c r="C34" s="2367"/>
      <c r="D34" s="2411"/>
      <c r="E34" s="2437"/>
      <c r="F34" s="2436"/>
      <c r="G34" s="2367"/>
      <c r="H34" s="2370"/>
      <c r="I34" s="2370"/>
      <c r="J34" s="2369"/>
      <c r="K34" s="2367"/>
      <c r="L34" s="2071"/>
      <c r="M34" s="2367"/>
      <c r="N34" s="1794" t="s">
        <v>94</v>
      </c>
      <c r="O34" s="1795"/>
      <c r="P34" s="1796"/>
      <c r="Q34" s="1797"/>
      <c r="R34" s="1797"/>
      <c r="S34" s="1797"/>
      <c r="T34" s="1797"/>
      <c r="U34" s="1797"/>
      <c r="V34" s="1797"/>
      <c r="W34" s="1797"/>
      <c r="X34" s="1797"/>
      <c r="Y34" s="1797"/>
      <c r="Z34" s="1797"/>
      <c r="AA34" s="1797"/>
    </row>
    <row r="35" spans="1:27" x14ac:dyDescent="0.25">
      <c r="A35" s="2422">
        <v>2.4</v>
      </c>
      <c r="B35" s="2415" t="s">
        <v>696</v>
      </c>
      <c r="C35" s="2367" t="s">
        <v>3</v>
      </c>
      <c r="D35" s="2411">
        <v>19</v>
      </c>
      <c r="E35" s="2437"/>
      <c r="F35" s="2411"/>
      <c r="G35" s="2367">
        <v>570000</v>
      </c>
      <c r="H35" s="2368">
        <f t="shared" ref="H35" si="27">J35*0.414561030583245</f>
        <v>129187.54436855554</v>
      </c>
      <c r="I35" s="2368">
        <f t="shared" ref="I35" si="28">H35</f>
        <v>129187.54436855554</v>
      </c>
      <c r="J35" s="2368">
        <f t="shared" ref="J35" si="29">G35/1.82912206116649</f>
        <v>311624.91126288899</v>
      </c>
      <c r="K35" s="2367"/>
      <c r="L35" s="2070" t="s">
        <v>96</v>
      </c>
      <c r="M35" s="2367"/>
      <c r="N35" s="1794" t="s">
        <v>92</v>
      </c>
      <c r="O35" s="1795">
        <v>44096</v>
      </c>
      <c r="P35" s="1795">
        <v>44110</v>
      </c>
      <c r="Q35" s="1821">
        <v>44144</v>
      </c>
      <c r="R35" s="1821">
        <f>Q35+16</f>
        <v>44160</v>
      </c>
      <c r="S35" s="1795">
        <f>R35+7</f>
        <v>44167</v>
      </c>
      <c r="T35" s="1795">
        <f>S35+7</f>
        <v>44174</v>
      </c>
      <c r="U35" s="1795"/>
      <c r="V35" s="1821">
        <f>T35+7</f>
        <v>44181</v>
      </c>
      <c r="W35" s="1821">
        <f>V35+12</f>
        <v>44193</v>
      </c>
      <c r="X35" s="1795">
        <v>44181</v>
      </c>
      <c r="Y35" s="1795" t="s">
        <v>104</v>
      </c>
      <c r="Z35" s="1795">
        <v>44188</v>
      </c>
      <c r="AA35" s="1795">
        <f>Z35+15</f>
        <v>44203</v>
      </c>
    </row>
    <row r="36" spans="1:27" x14ac:dyDescent="0.25">
      <c r="A36" s="2422"/>
      <c r="B36" s="2416"/>
      <c r="C36" s="2367"/>
      <c r="D36" s="2411"/>
      <c r="E36" s="2437"/>
      <c r="F36" s="2411"/>
      <c r="G36" s="2367"/>
      <c r="H36" s="2369"/>
      <c r="I36" s="2369"/>
      <c r="J36" s="2369"/>
      <c r="K36" s="2367"/>
      <c r="L36" s="2071"/>
      <c r="M36" s="2367"/>
      <c r="N36" s="1794" t="s">
        <v>93</v>
      </c>
      <c r="O36" s="1795"/>
      <c r="P36" s="1796"/>
      <c r="Q36" s="1797"/>
      <c r="R36" s="1797"/>
      <c r="S36" s="1797"/>
      <c r="T36" s="1797"/>
      <c r="U36" s="1797"/>
      <c r="V36" s="1797"/>
      <c r="W36" s="1797"/>
      <c r="X36" s="1797"/>
      <c r="Y36" s="1797"/>
      <c r="Z36" s="1797"/>
      <c r="AA36" s="1797"/>
    </row>
    <row r="37" spans="1:27" x14ac:dyDescent="0.25">
      <c r="A37" s="2422"/>
      <c r="B37" s="2417"/>
      <c r="C37" s="2367"/>
      <c r="D37" s="2411"/>
      <c r="E37" s="2437"/>
      <c r="F37" s="2411"/>
      <c r="G37" s="2367"/>
      <c r="H37" s="2370"/>
      <c r="I37" s="2370"/>
      <c r="J37" s="2369"/>
      <c r="K37" s="2367"/>
      <c r="L37" s="2071"/>
      <c r="M37" s="2367"/>
      <c r="N37" s="1794" t="s">
        <v>94</v>
      </c>
      <c r="O37" s="1795"/>
      <c r="P37" s="1796"/>
      <c r="Q37" s="1797"/>
      <c r="R37" s="1797"/>
      <c r="S37" s="1797"/>
      <c r="T37" s="1797"/>
      <c r="U37" s="1797"/>
      <c r="V37" s="1797"/>
      <c r="W37" s="1797"/>
      <c r="X37" s="1797"/>
      <c r="Y37" s="1797"/>
      <c r="Z37" s="1797"/>
      <c r="AA37" s="1797"/>
    </row>
    <row r="38" spans="1:27" x14ac:dyDescent="0.25">
      <c r="A38" s="2422">
        <v>2.5</v>
      </c>
      <c r="B38" s="2415" t="s">
        <v>957</v>
      </c>
      <c r="C38" s="2367" t="s">
        <v>3</v>
      </c>
      <c r="D38" s="2411">
        <v>6</v>
      </c>
      <c r="E38" s="2437"/>
      <c r="F38" s="2411"/>
      <c r="G38" s="2367">
        <v>105000</v>
      </c>
      <c r="H38" s="2368">
        <f t="shared" ref="H38" si="30">J38*0.414561030583245</f>
        <v>23797.705541576015</v>
      </c>
      <c r="I38" s="2368">
        <f t="shared" ref="I38" si="31">H38</f>
        <v>23797.705541576015</v>
      </c>
      <c r="J38" s="2368">
        <f t="shared" ref="J38" si="32">G38/1.82912206116649</f>
        <v>57404.588916847963</v>
      </c>
      <c r="K38" s="2367"/>
      <c r="L38" s="2070" t="s">
        <v>96</v>
      </c>
      <c r="M38" s="2367"/>
      <c r="N38" s="1794" t="s">
        <v>92</v>
      </c>
      <c r="O38" s="1795">
        <v>44096</v>
      </c>
      <c r="P38" s="1795">
        <v>44110</v>
      </c>
      <c r="Q38" s="1821">
        <v>44144</v>
      </c>
      <c r="R38" s="1821">
        <f>Q38+16</f>
        <v>44160</v>
      </c>
      <c r="S38" s="1795">
        <f>R38+7</f>
        <v>44167</v>
      </c>
      <c r="T38" s="1795">
        <f>S38+7</f>
        <v>44174</v>
      </c>
      <c r="U38" s="1795"/>
      <c r="V38" s="1821">
        <f>T38+7</f>
        <v>44181</v>
      </c>
      <c r="W38" s="1821">
        <f>V38+12</f>
        <v>44193</v>
      </c>
      <c r="X38" s="1795">
        <v>44181</v>
      </c>
      <c r="Y38" s="1795" t="s">
        <v>104</v>
      </c>
      <c r="Z38" s="1795">
        <v>44188</v>
      </c>
      <c r="AA38" s="1795">
        <f>Z38+15</f>
        <v>44203</v>
      </c>
    </row>
    <row r="39" spans="1:27" x14ac:dyDescent="0.25">
      <c r="A39" s="2422"/>
      <c r="B39" s="2416"/>
      <c r="C39" s="2367"/>
      <c r="D39" s="2411"/>
      <c r="E39" s="2437"/>
      <c r="F39" s="2411"/>
      <c r="G39" s="2367"/>
      <c r="H39" s="2369"/>
      <c r="I39" s="2369"/>
      <c r="J39" s="2369"/>
      <c r="K39" s="2367"/>
      <c r="L39" s="2071"/>
      <c r="M39" s="2367"/>
      <c r="N39" s="1794" t="s">
        <v>93</v>
      </c>
      <c r="O39" s="1795"/>
      <c r="P39" s="1796"/>
      <c r="Q39" s="1797"/>
      <c r="R39" s="1797"/>
      <c r="S39" s="1797"/>
      <c r="T39" s="1797"/>
      <c r="U39" s="1797"/>
      <c r="V39" s="1797"/>
      <c r="W39" s="1797"/>
      <c r="X39" s="1797"/>
      <c r="Y39" s="1797"/>
      <c r="Z39" s="1797"/>
      <c r="AA39" s="1797"/>
    </row>
    <row r="40" spans="1:27" x14ac:dyDescent="0.25">
      <c r="A40" s="2422"/>
      <c r="B40" s="2417"/>
      <c r="C40" s="2367"/>
      <c r="D40" s="2411"/>
      <c r="E40" s="2437"/>
      <c r="F40" s="2411"/>
      <c r="G40" s="2367"/>
      <c r="H40" s="2370"/>
      <c r="I40" s="2370"/>
      <c r="J40" s="2369"/>
      <c r="K40" s="2367"/>
      <c r="L40" s="2071"/>
      <c r="M40" s="2367"/>
      <c r="N40" s="1794" t="s">
        <v>94</v>
      </c>
      <c r="O40" s="1795"/>
      <c r="P40" s="1796"/>
      <c r="Q40" s="1797"/>
      <c r="R40" s="1797"/>
      <c r="S40" s="1797"/>
      <c r="T40" s="1797"/>
      <c r="U40" s="1797"/>
      <c r="V40" s="1797"/>
      <c r="W40" s="1797"/>
      <c r="X40" s="1797"/>
      <c r="Y40" s="1797"/>
      <c r="Z40" s="1797"/>
      <c r="AA40" s="1797"/>
    </row>
    <row r="41" spans="1:27" x14ac:dyDescent="0.25">
      <c r="A41" s="2422">
        <v>2.6</v>
      </c>
      <c r="B41" s="2415" t="s">
        <v>958</v>
      </c>
      <c r="C41" s="2422" t="s">
        <v>3</v>
      </c>
      <c r="D41" s="2411">
        <v>5</v>
      </c>
      <c r="E41" s="2437"/>
      <c r="F41" s="2411"/>
      <c r="G41" s="2367">
        <v>150000</v>
      </c>
      <c r="H41" s="2368">
        <f t="shared" ref="H41" si="33">J41*0.414561030583245</f>
        <v>33996.722202251454</v>
      </c>
      <c r="I41" s="2368">
        <f t="shared" ref="I41" si="34">H41</f>
        <v>33996.722202251454</v>
      </c>
      <c r="J41" s="2368">
        <f t="shared" ref="J41" si="35">G41/1.82912206116649</f>
        <v>82006.555595497091</v>
      </c>
      <c r="K41" s="2367"/>
      <c r="L41" s="2070" t="s">
        <v>96</v>
      </c>
      <c r="M41" s="2367"/>
      <c r="N41" s="1794" t="s">
        <v>92</v>
      </c>
      <c r="O41" s="1795">
        <v>44096</v>
      </c>
      <c r="P41" s="1795">
        <v>44110</v>
      </c>
      <c r="Q41" s="1821">
        <v>44144</v>
      </c>
      <c r="R41" s="1821">
        <f>Q41+16</f>
        <v>44160</v>
      </c>
      <c r="S41" s="1795">
        <f>R41+7</f>
        <v>44167</v>
      </c>
      <c r="T41" s="1795">
        <f>S41+7</f>
        <v>44174</v>
      </c>
      <c r="U41" s="1795"/>
      <c r="V41" s="1821">
        <f>T41+7</f>
        <v>44181</v>
      </c>
      <c r="W41" s="1821">
        <f>V41+12</f>
        <v>44193</v>
      </c>
      <c r="X41" s="1795">
        <v>44181</v>
      </c>
      <c r="Y41" s="1795" t="s">
        <v>104</v>
      </c>
      <c r="Z41" s="1795">
        <v>44188</v>
      </c>
      <c r="AA41" s="1795">
        <f>Z41+15</f>
        <v>44203</v>
      </c>
    </row>
    <row r="42" spans="1:27" x14ac:dyDescent="0.25">
      <c r="A42" s="2422"/>
      <c r="B42" s="2416"/>
      <c r="C42" s="2422"/>
      <c r="D42" s="2411"/>
      <c r="E42" s="2437"/>
      <c r="F42" s="2411"/>
      <c r="G42" s="2367"/>
      <c r="H42" s="2369"/>
      <c r="I42" s="2369"/>
      <c r="J42" s="2369"/>
      <c r="K42" s="2367"/>
      <c r="L42" s="2071"/>
      <c r="M42" s="2367"/>
      <c r="N42" s="1794" t="s">
        <v>93</v>
      </c>
      <c r="O42" s="1795"/>
      <c r="P42" s="1796"/>
      <c r="Q42" s="1797"/>
      <c r="R42" s="1797"/>
      <c r="S42" s="1797"/>
      <c r="T42" s="1797"/>
      <c r="U42" s="1797"/>
      <c r="V42" s="1797"/>
      <c r="W42" s="1797"/>
      <c r="X42" s="1797"/>
      <c r="Y42" s="1797"/>
      <c r="Z42" s="1797"/>
      <c r="AA42" s="1797"/>
    </row>
    <row r="43" spans="1:27" x14ac:dyDescent="0.25">
      <c r="A43" s="2422"/>
      <c r="B43" s="2417"/>
      <c r="C43" s="2422"/>
      <c r="D43" s="2411"/>
      <c r="E43" s="2437"/>
      <c r="F43" s="2411"/>
      <c r="G43" s="2367"/>
      <c r="H43" s="2370"/>
      <c r="I43" s="2370"/>
      <c r="J43" s="2369"/>
      <c r="K43" s="2367"/>
      <c r="L43" s="2071"/>
      <c r="M43" s="2367"/>
      <c r="N43" s="1794" t="s">
        <v>94</v>
      </c>
      <c r="O43" s="1795"/>
      <c r="P43" s="1796"/>
      <c r="Q43" s="1797"/>
      <c r="R43" s="1797"/>
      <c r="S43" s="1797"/>
      <c r="T43" s="1797"/>
      <c r="U43" s="1797"/>
      <c r="V43" s="1797"/>
      <c r="W43" s="1797"/>
      <c r="X43" s="1797"/>
      <c r="Y43" s="1797"/>
      <c r="Z43" s="1797"/>
      <c r="AA43" s="1797"/>
    </row>
    <row r="44" spans="1:27" s="1849" customFormat="1" x14ac:dyDescent="0.25">
      <c r="A44" s="1841"/>
      <c r="B44" s="1789" t="s">
        <v>407</v>
      </c>
      <c r="C44" s="1841"/>
      <c r="D44" s="1842"/>
      <c r="E44" s="1843"/>
      <c r="F44" s="1842"/>
      <c r="G44" s="1844">
        <f>G26+G29+G32+G35+G38+G41</f>
        <v>2205162.02</v>
      </c>
      <c r="H44" s="1844">
        <f t="shared" ref="H44:J44" si="36">H26+H29+H32+H35+H38+H41</f>
        <v>499788.53736597107</v>
      </c>
      <c r="I44" s="1844">
        <f t="shared" si="36"/>
        <v>499788.53736597107</v>
      </c>
      <c r="J44" s="1844">
        <f t="shared" si="36"/>
        <v>1205584.945268058</v>
      </c>
      <c r="K44" s="1844"/>
      <c r="L44" s="1845"/>
      <c r="M44" s="1844"/>
      <c r="N44" s="1790"/>
      <c r="O44" s="1846"/>
      <c r="P44" s="1847"/>
      <c r="Q44" s="1848"/>
      <c r="R44" s="1848"/>
      <c r="S44" s="1848"/>
      <c r="T44" s="1848"/>
      <c r="U44" s="1848"/>
      <c r="V44" s="1848"/>
      <c r="W44" s="1848"/>
      <c r="X44" s="1848"/>
      <c r="Y44" s="1848"/>
      <c r="Z44" s="1848"/>
      <c r="AA44" s="1848"/>
    </row>
    <row r="45" spans="1:27" x14ac:dyDescent="0.25">
      <c r="A45" s="1822">
        <v>3</v>
      </c>
      <c r="B45" s="1823" t="s">
        <v>959</v>
      </c>
      <c r="C45" s="1824"/>
      <c r="D45" s="1825"/>
      <c r="E45" s="1826"/>
      <c r="F45" s="1825"/>
      <c r="G45" s="1824"/>
      <c r="H45" s="1824"/>
      <c r="I45" s="1824"/>
      <c r="J45" s="1824"/>
      <c r="K45" s="1824"/>
      <c r="L45" s="1827"/>
      <c r="M45" s="1824"/>
      <c r="N45" s="1828"/>
      <c r="O45" s="1829"/>
      <c r="P45" s="1830"/>
      <c r="Q45" s="1831"/>
      <c r="R45" s="1831"/>
      <c r="S45" s="1831"/>
      <c r="T45" s="1831"/>
      <c r="U45" s="1831"/>
      <c r="V45" s="1831"/>
      <c r="W45" s="1831"/>
      <c r="X45" s="1831"/>
      <c r="Y45" s="1831"/>
      <c r="Z45" s="1831"/>
      <c r="AA45" s="1831"/>
    </row>
    <row r="46" spans="1:27" ht="13.8" customHeight="1" x14ac:dyDescent="0.25">
      <c r="A46" s="2422">
        <v>3.1</v>
      </c>
      <c r="B46" s="2410" t="s">
        <v>148</v>
      </c>
      <c r="C46" s="2367" t="s">
        <v>3</v>
      </c>
      <c r="D46" s="2411">
        <v>39</v>
      </c>
      <c r="E46" s="2418" t="s">
        <v>1060</v>
      </c>
      <c r="F46" s="2411"/>
      <c r="G46" s="2367">
        <v>200000</v>
      </c>
      <c r="H46" s="2368">
        <f>J46*0.414561030583245</f>
        <v>45328.962936335265</v>
      </c>
      <c r="I46" s="2412">
        <f>H46</f>
        <v>45328.962936335265</v>
      </c>
      <c r="J46" s="2368">
        <f>G46/1.82912206116649</f>
        <v>109342.07412732946</v>
      </c>
      <c r="K46" s="2367"/>
      <c r="L46" s="2367" t="s">
        <v>90</v>
      </c>
      <c r="M46" s="2367"/>
      <c r="N46" s="1794" t="s">
        <v>92</v>
      </c>
      <c r="O46" s="1795">
        <v>44096</v>
      </c>
      <c r="P46" s="1795">
        <v>44110</v>
      </c>
      <c r="Q46" s="1821">
        <v>44144</v>
      </c>
      <c r="R46" s="1821">
        <f>Q46+16</f>
        <v>44160</v>
      </c>
      <c r="S46" s="1795">
        <f>R46+7</f>
        <v>44167</v>
      </c>
      <c r="T46" s="1795">
        <f>S46+7</f>
        <v>44174</v>
      </c>
      <c r="U46" s="1795"/>
      <c r="V46" s="1821">
        <f>T46+7</f>
        <v>44181</v>
      </c>
      <c r="W46" s="1821">
        <f>V46+12</f>
        <v>44193</v>
      </c>
      <c r="X46" s="1795">
        <v>44181</v>
      </c>
      <c r="Y46" s="1795" t="s">
        <v>104</v>
      </c>
      <c r="Z46" s="1795">
        <v>44188</v>
      </c>
      <c r="AA46" s="1795">
        <f>Z46+15</f>
        <v>44203</v>
      </c>
    </row>
    <row r="47" spans="1:27" ht="14.4" customHeight="1" x14ac:dyDescent="0.25">
      <c r="A47" s="2422"/>
      <c r="B47" s="2410"/>
      <c r="C47" s="2367"/>
      <c r="D47" s="2411"/>
      <c r="E47" s="2419"/>
      <c r="F47" s="2411"/>
      <c r="G47" s="2367"/>
      <c r="H47" s="2369"/>
      <c r="I47" s="2413"/>
      <c r="J47" s="2369"/>
      <c r="K47" s="2367"/>
      <c r="L47" s="2367"/>
      <c r="M47" s="2367"/>
      <c r="N47" s="1794" t="s">
        <v>93</v>
      </c>
      <c r="O47" s="1795"/>
      <c r="P47" s="1796"/>
      <c r="Q47" s="1797"/>
      <c r="R47" s="1797"/>
      <c r="S47" s="1797"/>
      <c r="T47" s="1797"/>
      <c r="U47" s="1797"/>
      <c r="V47" s="1797"/>
      <c r="W47" s="1797"/>
      <c r="X47" s="1797"/>
      <c r="Y47" s="1797"/>
      <c r="Z47" s="1797"/>
      <c r="AA47" s="1797"/>
    </row>
    <row r="48" spans="1:27" ht="14.4" customHeight="1" x14ac:dyDescent="0.25">
      <c r="A48" s="2422"/>
      <c r="B48" s="2410"/>
      <c r="C48" s="2367"/>
      <c r="D48" s="2411"/>
      <c r="E48" s="2419"/>
      <c r="F48" s="2411"/>
      <c r="G48" s="2367"/>
      <c r="H48" s="2370"/>
      <c r="I48" s="2414"/>
      <c r="J48" s="2369"/>
      <c r="K48" s="2367"/>
      <c r="L48" s="2367"/>
      <c r="M48" s="2367"/>
      <c r="N48" s="1794" t="s">
        <v>94</v>
      </c>
      <c r="O48" s="1795"/>
      <c r="P48" s="1796"/>
      <c r="Q48" s="1797"/>
      <c r="R48" s="1797"/>
      <c r="S48" s="1797"/>
      <c r="T48" s="1797"/>
      <c r="U48" s="1797"/>
      <c r="V48" s="1797"/>
      <c r="W48" s="1797"/>
      <c r="X48" s="1797"/>
      <c r="Y48" s="1797"/>
      <c r="Z48" s="1797"/>
      <c r="AA48" s="1797"/>
    </row>
    <row r="49" spans="1:27" ht="14.4" customHeight="1" x14ac:dyDescent="0.25">
      <c r="A49" s="2422">
        <v>3.2</v>
      </c>
      <c r="B49" s="2410" t="s">
        <v>131</v>
      </c>
      <c r="C49" s="2367" t="s">
        <v>3</v>
      </c>
      <c r="D49" s="2411">
        <v>25</v>
      </c>
      <c r="E49" s="2419"/>
      <c r="F49" s="2434"/>
      <c r="G49" s="2367">
        <v>210000</v>
      </c>
      <c r="H49" s="2368">
        <f t="shared" ref="H49" si="37">J49*0.414561030583245</f>
        <v>47595.41108315203</v>
      </c>
      <c r="I49" s="2412">
        <f t="shared" ref="I49" si="38">H49</f>
        <v>47595.41108315203</v>
      </c>
      <c r="J49" s="2368">
        <f t="shared" ref="J49" si="39">G49/1.82912206116649</f>
        <v>114809.17783369593</v>
      </c>
      <c r="K49" s="2367"/>
      <c r="L49" s="2367" t="s">
        <v>90</v>
      </c>
      <c r="M49" s="2367"/>
      <c r="N49" s="1794" t="s">
        <v>92</v>
      </c>
      <c r="O49" s="1795">
        <v>44096</v>
      </c>
      <c r="P49" s="1795">
        <v>44110</v>
      </c>
      <c r="Q49" s="1821">
        <v>44144</v>
      </c>
      <c r="R49" s="1821">
        <f>Q49+16</f>
        <v>44160</v>
      </c>
      <c r="S49" s="1795">
        <f>R49+7</f>
        <v>44167</v>
      </c>
      <c r="T49" s="1795">
        <f>S49+7</f>
        <v>44174</v>
      </c>
      <c r="U49" s="1795"/>
      <c r="V49" s="1821">
        <f>T49+7</f>
        <v>44181</v>
      </c>
      <c r="W49" s="1821">
        <f>V49+12</f>
        <v>44193</v>
      </c>
      <c r="X49" s="1795">
        <v>44181</v>
      </c>
      <c r="Y49" s="1795" t="s">
        <v>104</v>
      </c>
      <c r="Z49" s="1795">
        <v>44188</v>
      </c>
      <c r="AA49" s="1795">
        <f>Z49+15</f>
        <v>44203</v>
      </c>
    </row>
    <row r="50" spans="1:27" ht="14.4" customHeight="1" x14ac:dyDescent="0.25">
      <c r="A50" s="2422"/>
      <c r="B50" s="2410"/>
      <c r="C50" s="2367"/>
      <c r="D50" s="2411"/>
      <c r="E50" s="2419"/>
      <c r="F50" s="2435"/>
      <c r="G50" s="2367"/>
      <c r="H50" s="2369"/>
      <c r="I50" s="2413"/>
      <c r="J50" s="2369"/>
      <c r="K50" s="2367"/>
      <c r="L50" s="2367"/>
      <c r="M50" s="2367"/>
      <c r="N50" s="1794" t="s">
        <v>93</v>
      </c>
      <c r="O50" s="1795"/>
      <c r="P50" s="1796"/>
      <c r="Q50" s="1797"/>
      <c r="R50" s="1797"/>
      <c r="S50" s="1797"/>
      <c r="T50" s="1797"/>
      <c r="U50" s="1797"/>
      <c r="V50" s="1797"/>
      <c r="W50" s="1797"/>
      <c r="X50" s="1797"/>
      <c r="Y50" s="1797"/>
      <c r="Z50" s="1797"/>
      <c r="AA50" s="1797"/>
    </row>
    <row r="51" spans="1:27" ht="14.4" customHeight="1" x14ac:dyDescent="0.25">
      <c r="A51" s="2422"/>
      <c r="B51" s="2410"/>
      <c r="C51" s="2367"/>
      <c r="D51" s="2411"/>
      <c r="E51" s="2419"/>
      <c r="F51" s="2436"/>
      <c r="G51" s="2367"/>
      <c r="H51" s="2370"/>
      <c r="I51" s="2414"/>
      <c r="J51" s="2369"/>
      <c r="K51" s="2367"/>
      <c r="L51" s="2367"/>
      <c r="M51" s="2367"/>
      <c r="N51" s="1794" t="s">
        <v>94</v>
      </c>
      <c r="O51" s="1795"/>
      <c r="P51" s="1796"/>
      <c r="Q51" s="1797"/>
      <c r="R51" s="1797"/>
      <c r="S51" s="1797"/>
      <c r="T51" s="1797"/>
      <c r="U51" s="1797"/>
      <c r="V51" s="1797"/>
      <c r="W51" s="1797"/>
      <c r="X51" s="1797"/>
      <c r="Y51" s="1797"/>
      <c r="Z51" s="1797"/>
      <c r="AA51" s="1797"/>
    </row>
    <row r="52" spans="1:27" ht="14.4" customHeight="1" x14ac:dyDescent="0.25">
      <c r="A52" s="2422">
        <v>3.3</v>
      </c>
      <c r="B52" s="2415" t="s">
        <v>697</v>
      </c>
      <c r="C52" s="2367" t="s">
        <v>3</v>
      </c>
      <c r="D52" s="2411">
        <v>20</v>
      </c>
      <c r="E52" s="2419"/>
      <c r="F52" s="2434"/>
      <c r="G52" s="2367">
        <v>100000</v>
      </c>
      <c r="H52" s="2368">
        <f t="shared" ref="H52" si="40">J52*0.414561030583245</f>
        <v>22664.481468167633</v>
      </c>
      <c r="I52" s="2412">
        <f t="shared" ref="I52" si="41">H52</f>
        <v>22664.481468167633</v>
      </c>
      <c r="J52" s="2368">
        <f t="shared" ref="J52" si="42">G52/1.82912206116649</f>
        <v>54671.037063664728</v>
      </c>
      <c r="K52" s="2367"/>
      <c r="L52" s="2367" t="s">
        <v>90</v>
      </c>
      <c r="M52" s="2367"/>
      <c r="N52" s="1794" t="s">
        <v>92</v>
      </c>
      <c r="O52" s="1795">
        <v>44096</v>
      </c>
      <c r="P52" s="1795">
        <v>44110</v>
      </c>
      <c r="Q52" s="1821">
        <v>44144</v>
      </c>
      <c r="R52" s="1821">
        <f>Q52+16</f>
        <v>44160</v>
      </c>
      <c r="S52" s="1795">
        <f>R52+7</f>
        <v>44167</v>
      </c>
      <c r="T52" s="1795">
        <f>S52+7</f>
        <v>44174</v>
      </c>
      <c r="U52" s="1795"/>
      <c r="V52" s="1821">
        <f>T52+7</f>
        <v>44181</v>
      </c>
      <c r="W52" s="1821">
        <f>V52+12</f>
        <v>44193</v>
      </c>
      <c r="X52" s="1795">
        <v>44181</v>
      </c>
      <c r="Y52" s="1795" t="s">
        <v>104</v>
      </c>
      <c r="Z52" s="1795">
        <v>44188</v>
      </c>
      <c r="AA52" s="1795">
        <f>Z52+15</f>
        <v>44203</v>
      </c>
    </row>
    <row r="53" spans="1:27" ht="14.4" customHeight="1" x14ac:dyDescent="0.25">
      <c r="A53" s="2422"/>
      <c r="B53" s="2416"/>
      <c r="C53" s="2367"/>
      <c r="D53" s="2411"/>
      <c r="E53" s="2419"/>
      <c r="F53" s="2435"/>
      <c r="G53" s="2367"/>
      <c r="H53" s="2369"/>
      <c r="I53" s="2413"/>
      <c r="J53" s="2369"/>
      <c r="K53" s="2367"/>
      <c r="L53" s="2367"/>
      <c r="M53" s="2367"/>
      <c r="N53" s="1794" t="s">
        <v>93</v>
      </c>
      <c r="O53" s="1795"/>
      <c r="P53" s="1796"/>
      <c r="Q53" s="1797"/>
      <c r="R53" s="1797"/>
      <c r="S53" s="1797"/>
      <c r="T53" s="1797"/>
      <c r="U53" s="1797"/>
      <c r="V53" s="1797"/>
      <c r="W53" s="1797"/>
      <c r="X53" s="1797"/>
      <c r="Y53" s="1797"/>
      <c r="Z53" s="1797"/>
      <c r="AA53" s="1797"/>
    </row>
    <row r="54" spans="1:27" ht="14.4" customHeight="1" x14ac:dyDescent="0.25">
      <c r="A54" s="2422"/>
      <c r="B54" s="2417"/>
      <c r="C54" s="2367"/>
      <c r="D54" s="2411"/>
      <c r="E54" s="2419"/>
      <c r="F54" s="2436"/>
      <c r="G54" s="2367"/>
      <c r="H54" s="2370"/>
      <c r="I54" s="2414"/>
      <c r="J54" s="2369"/>
      <c r="K54" s="2367"/>
      <c r="L54" s="2367"/>
      <c r="M54" s="2367"/>
      <c r="N54" s="1794" t="s">
        <v>94</v>
      </c>
      <c r="O54" s="1795"/>
      <c r="P54" s="1796"/>
      <c r="Q54" s="1797"/>
      <c r="R54" s="1797"/>
      <c r="S54" s="1797"/>
      <c r="T54" s="1797"/>
      <c r="U54" s="1797"/>
      <c r="V54" s="1797"/>
      <c r="W54" s="1797"/>
      <c r="X54" s="1797"/>
      <c r="Y54" s="1797"/>
      <c r="Z54" s="1797"/>
      <c r="AA54" s="1797"/>
    </row>
    <row r="55" spans="1:27" ht="13.8" customHeight="1" x14ac:dyDescent="0.25">
      <c r="A55" s="2438">
        <v>3.4</v>
      </c>
      <c r="B55" s="2415" t="s">
        <v>967</v>
      </c>
      <c r="C55" s="2445" t="s">
        <v>27</v>
      </c>
      <c r="D55" s="2448">
        <v>50</v>
      </c>
      <c r="E55" s="2419"/>
      <c r="F55" s="2441"/>
      <c r="G55" s="2451">
        <v>100000</v>
      </c>
      <c r="H55" s="2368">
        <f t="shared" ref="H55" si="43">J55*0.414561030583245</f>
        <v>22664.481468167633</v>
      </c>
      <c r="I55" s="2412">
        <f t="shared" ref="I55" si="44">H55</f>
        <v>22664.481468167633</v>
      </c>
      <c r="J55" s="2368">
        <f t="shared" ref="J55" si="45">G55/1.82912206116649</f>
        <v>54671.037063664728</v>
      </c>
      <c r="K55" s="2213"/>
      <c r="L55" s="2070" t="s">
        <v>96</v>
      </c>
      <c r="M55" s="2070" t="s">
        <v>91</v>
      </c>
      <c r="N55" s="1794" t="s">
        <v>92</v>
      </c>
      <c r="O55" s="1795">
        <v>44096</v>
      </c>
      <c r="P55" s="1795">
        <v>44110</v>
      </c>
      <c r="Q55" s="1821">
        <v>44144</v>
      </c>
      <c r="R55" s="1821">
        <f>Q55+16</f>
        <v>44160</v>
      </c>
      <c r="S55" s="1795">
        <f>R55+7</f>
        <v>44167</v>
      </c>
      <c r="T55" s="1795">
        <f>S55+7</f>
        <v>44174</v>
      </c>
      <c r="U55" s="1795"/>
      <c r="V55" s="1821">
        <f>T55+7</f>
        <v>44181</v>
      </c>
      <c r="W55" s="1821">
        <f>V55+12</f>
        <v>44193</v>
      </c>
      <c r="X55" s="1795">
        <v>44181</v>
      </c>
      <c r="Y55" s="1795" t="s">
        <v>104</v>
      </c>
      <c r="Z55" s="1795">
        <v>44188</v>
      </c>
      <c r="AA55" s="1795">
        <f>Z55+15</f>
        <v>44203</v>
      </c>
    </row>
    <row r="56" spans="1:27" ht="14.4" customHeight="1" x14ac:dyDescent="0.25">
      <c r="A56" s="2439"/>
      <c r="B56" s="2416"/>
      <c r="C56" s="2446"/>
      <c r="D56" s="2449"/>
      <c r="E56" s="2419"/>
      <c r="F56" s="2442"/>
      <c r="G56" s="2452"/>
      <c r="H56" s="2369"/>
      <c r="I56" s="2413"/>
      <c r="J56" s="2369"/>
      <c r="K56" s="2214"/>
      <c r="L56" s="2071"/>
      <c r="M56" s="2071"/>
      <c r="N56" s="1794" t="s">
        <v>93</v>
      </c>
      <c r="O56" s="1798"/>
      <c r="P56" s="1798"/>
      <c r="Q56" s="1798"/>
      <c r="R56" s="1798"/>
      <c r="S56" s="1798"/>
      <c r="T56" s="1798"/>
      <c r="U56" s="1798"/>
      <c r="V56" s="1798"/>
      <c r="W56" s="1798"/>
      <c r="X56" s="1798"/>
      <c r="Y56" s="1798"/>
      <c r="Z56" s="1798"/>
      <c r="AA56" s="1798"/>
    </row>
    <row r="57" spans="1:27" ht="14.4" customHeight="1" thickBot="1" x14ac:dyDescent="0.3">
      <c r="A57" s="2440"/>
      <c r="B57" s="2417"/>
      <c r="C57" s="2447"/>
      <c r="D57" s="2450"/>
      <c r="E57" s="2420"/>
      <c r="F57" s="2443"/>
      <c r="G57" s="2453"/>
      <c r="H57" s="2370"/>
      <c r="I57" s="2414"/>
      <c r="J57" s="2369"/>
      <c r="K57" s="2215"/>
      <c r="L57" s="2072"/>
      <c r="M57" s="2072"/>
      <c r="N57" s="1794" t="s">
        <v>94</v>
      </c>
      <c r="O57" s="1795"/>
      <c r="P57" s="1795"/>
      <c r="Q57" s="1795"/>
      <c r="R57" s="1795"/>
      <c r="S57" s="1795"/>
      <c r="T57" s="1795"/>
      <c r="U57" s="1795"/>
      <c r="V57" s="1795"/>
      <c r="W57" s="1795"/>
      <c r="X57" s="1795"/>
      <c r="Y57" s="1795"/>
      <c r="Z57" s="1795"/>
      <c r="AA57" s="1795"/>
    </row>
    <row r="58" spans="1:27" s="1849" customFormat="1" x14ac:dyDescent="0.25">
      <c r="A58" s="1850"/>
      <c r="B58" s="1789" t="s">
        <v>407</v>
      </c>
      <c r="C58" s="1851"/>
      <c r="D58" s="1852"/>
      <c r="E58" s="1853"/>
      <c r="F58" s="1854"/>
      <c r="G58" s="1855">
        <f>G46+G49+G52+G55</f>
        <v>610000</v>
      </c>
      <c r="H58" s="1855">
        <f t="shared" ref="H58:J58" si="46">H46+H49+H52+H55</f>
        <v>138253.33695582257</v>
      </c>
      <c r="I58" s="1855">
        <f t="shared" si="46"/>
        <v>138253.33695582257</v>
      </c>
      <c r="J58" s="1855">
        <f t="shared" si="46"/>
        <v>333493.32608835481</v>
      </c>
      <c r="K58" s="1855"/>
      <c r="L58" s="1856"/>
      <c r="M58" s="1856"/>
      <c r="N58" s="1790"/>
      <c r="O58" s="1846"/>
      <c r="P58" s="1846"/>
      <c r="Q58" s="1846"/>
      <c r="R58" s="1846"/>
      <c r="S58" s="1846"/>
      <c r="T58" s="1846"/>
      <c r="U58" s="1846"/>
      <c r="V58" s="1846"/>
      <c r="W58" s="1846"/>
      <c r="X58" s="1846"/>
      <c r="Y58" s="1846"/>
      <c r="Z58" s="1846"/>
      <c r="AA58" s="1846"/>
    </row>
    <row r="59" spans="1:27" x14ac:dyDescent="0.25">
      <c r="A59" s="1799"/>
      <c r="B59" s="2444" t="s">
        <v>405</v>
      </c>
      <c r="C59" s="2444"/>
      <c r="D59" s="1799"/>
      <c r="E59" s="1799"/>
      <c r="F59" s="1799"/>
      <c r="G59" s="1800">
        <f>G22+G44+G58</f>
        <v>26881907.120000001</v>
      </c>
      <c r="H59" s="1800">
        <f t="shared" ref="H59:J59" si="47">H22+H44+H58</f>
        <v>6128850.6307414975</v>
      </c>
      <c r="I59" s="1800">
        <f t="shared" si="47"/>
        <v>6128850.6307414975</v>
      </c>
      <c r="J59" s="1800">
        <f t="shared" si="47"/>
        <v>14624205.858516956</v>
      </c>
      <c r="K59" s="1799"/>
      <c r="L59" s="1799"/>
      <c r="M59" s="1799"/>
      <c r="N59" s="1799"/>
      <c r="O59" s="1799"/>
      <c r="P59" s="1799"/>
      <c r="Q59" s="1799"/>
      <c r="R59" s="1799"/>
      <c r="S59" s="1799"/>
      <c r="T59" s="1799"/>
      <c r="U59" s="1799"/>
      <c r="V59" s="1799"/>
      <c r="W59" s="1799"/>
      <c r="X59" s="1799"/>
      <c r="Y59" s="1799"/>
      <c r="Z59" s="1799"/>
      <c r="AA59" s="1799"/>
    </row>
    <row r="61" spans="1:27" x14ac:dyDescent="0.25">
      <c r="G61" s="1801">
        <f>G26+G29+G32+G35+G41+G46+G49+G52+G38</f>
        <v>2715162.02</v>
      </c>
      <c r="H61" s="1801">
        <f t="shared" ref="H61:J61" si="48">H26+H29+H32+H35+H41+H46+H49+H52+H38</f>
        <v>615377.39285362593</v>
      </c>
      <c r="I61" s="1801">
        <f t="shared" si="48"/>
        <v>615377.39285362593</v>
      </c>
      <c r="J61" s="1801">
        <f t="shared" si="48"/>
        <v>1484407.2342927482</v>
      </c>
      <c r="L61" s="1801">
        <f>H59+I59+J59</f>
        <v>26881907.119999953</v>
      </c>
    </row>
    <row r="62" spans="1:27" x14ac:dyDescent="0.25">
      <c r="L62" s="1761">
        <v>9018603.0899999999</v>
      </c>
      <c r="N62" s="1801"/>
    </row>
    <row r="63" spans="1:27" x14ac:dyDescent="0.25">
      <c r="G63" s="1802">
        <v>1171000</v>
      </c>
      <c r="I63" s="1801">
        <f>H61+I61+J61</f>
        <v>2715162.02</v>
      </c>
      <c r="L63" s="1801">
        <f>L61-L62</f>
        <v>17863304.029999953</v>
      </c>
    </row>
    <row r="64" spans="1:27" x14ac:dyDescent="0.25">
      <c r="F64" s="1761" t="s">
        <v>1045</v>
      </c>
      <c r="I64" s="1801"/>
    </row>
    <row r="65" spans="7:14" x14ac:dyDescent="0.25">
      <c r="G65" s="1801" t="e">
        <f>G22+G23+G45+G55+#REF!</f>
        <v>#REF!</v>
      </c>
      <c r="I65" s="1801" t="e">
        <f>I55+#REF!</f>
        <v>#REF!</v>
      </c>
    </row>
    <row r="66" spans="7:14" x14ac:dyDescent="0.25">
      <c r="N66" s="1801"/>
    </row>
    <row r="67" spans="7:14" x14ac:dyDescent="0.25">
      <c r="G67" s="1801">
        <f>G59-G22</f>
        <v>2815162.0199999996</v>
      </c>
    </row>
    <row r="69" spans="7:14" x14ac:dyDescent="0.25">
      <c r="G69" s="1801">
        <f>G58+G44</f>
        <v>2815162.02</v>
      </c>
    </row>
  </sheetData>
  <mergeCells count="200">
    <mergeCell ref="I19:I21"/>
    <mergeCell ref="J19:J21"/>
    <mergeCell ref="K19:K21"/>
    <mergeCell ref="L19:L21"/>
    <mergeCell ref="M19:M21"/>
    <mergeCell ref="A19:A21"/>
    <mergeCell ref="B19:B21"/>
    <mergeCell ref="C19:C21"/>
    <mergeCell ref="D19:D21"/>
    <mergeCell ref="E19:E21"/>
    <mergeCell ref="F19:F21"/>
    <mergeCell ref="G19:G21"/>
    <mergeCell ref="H19:H21"/>
    <mergeCell ref="A55:A57"/>
    <mergeCell ref="F55:F57"/>
    <mergeCell ref="B59:C59"/>
    <mergeCell ref="L41:L43"/>
    <mergeCell ref="M41:M43"/>
    <mergeCell ref="A46:A48"/>
    <mergeCell ref="F46:F48"/>
    <mergeCell ref="A49:A51"/>
    <mergeCell ref="F49:F51"/>
    <mergeCell ref="A52:A54"/>
    <mergeCell ref="F52:F54"/>
    <mergeCell ref="A41:A43"/>
    <mergeCell ref="B41:B43"/>
    <mergeCell ref="C41:C43"/>
    <mergeCell ref="D41:D43"/>
    <mergeCell ref="F41:F43"/>
    <mergeCell ref="G41:G43"/>
    <mergeCell ref="H41:H43"/>
    <mergeCell ref="I41:I43"/>
    <mergeCell ref="J41:J43"/>
    <mergeCell ref="B55:B57"/>
    <mergeCell ref="C55:C57"/>
    <mergeCell ref="D55:D57"/>
    <mergeCell ref="G55:G57"/>
    <mergeCell ref="J32:J34"/>
    <mergeCell ref="K32:K34"/>
    <mergeCell ref="L32:L34"/>
    <mergeCell ref="M32:M34"/>
    <mergeCell ref="A35:A37"/>
    <mergeCell ref="B35:B37"/>
    <mergeCell ref="C35:C37"/>
    <mergeCell ref="D35:D37"/>
    <mergeCell ref="F35:F37"/>
    <mergeCell ref="G35:G37"/>
    <mergeCell ref="H35:H37"/>
    <mergeCell ref="I35:I37"/>
    <mergeCell ref="J35:J37"/>
    <mergeCell ref="K35:K37"/>
    <mergeCell ref="L35:L37"/>
    <mergeCell ref="M35:M37"/>
    <mergeCell ref="J26:J28"/>
    <mergeCell ref="K26:K28"/>
    <mergeCell ref="L26:L28"/>
    <mergeCell ref="M26:M28"/>
    <mergeCell ref="A29:A31"/>
    <mergeCell ref="B29:B31"/>
    <mergeCell ref="C29:C31"/>
    <mergeCell ref="D29:D31"/>
    <mergeCell ref="F29:F31"/>
    <mergeCell ref="G29:G31"/>
    <mergeCell ref="H29:H31"/>
    <mergeCell ref="I29:I31"/>
    <mergeCell ref="J29:J31"/>
    <mergeCell ref="K29:K31"/>
    <mergeCell ref="L29:L31"/>
    <mergeCell ref="M29:M31"/>
    <mergeCell ref="A26:A28"/>
    <mergeCell ref="B26:B28"/>
    <mergeCell ref="C26:C28"/>
    <mergeCell ref="D26:D28"/>
    <mergeCell ref="E26:E43"/>
    <mergeCell ref="F26:F28"/>
    <mergeCell ref="G26:G28"/>
    <mergeCell ref="H26:H28"/>
    <mergeCell ref="I26:I28"/>
    <mergeCell ref="A32:A34"/>
    <mergeCell ref="B32:B34"/>
    <mergeCell ref="C32:C34"/>
    <mergeCell ref="D32:D34"/>
    <mergeCell ref="F32:F34"/>
    <mergeCell ref="G32:G34"/>
    <mergeCell ref="H32:H34"/>
    <mergeCell ref="I32:I34"/>
    <mergeCell ref="A38:A40"/>
    <mergeCell ref="B38:B40"/>
    <mergeCell ref="C38:C40"/>
    <mergeCell ref="D38:D40"/>
    <mergeCell ref="F38:F40"/>
    <mergeCell ref="G38:G40"/>
    <mergeCell ref="H38:H40"/>
    <mergeCell ref="A23:A25"/>
    <mergeCell ref="B23:B25"/>
    <mergeCell ref="C23:C25"/>
    <mergeCell ref="D23:D25"/>
    <mergeCell ref="E23:E25"/>
    <mergeCell ref="F23:F25"/>
    <mergeCell ref="G23:G25"/>
    <mergeCell ref="H23:H25"/>
    <mergeCell ref="A16:A18"/>
    <mergeCell ref="B16:B18"/>
    <mergeCell ref="C16:C18"/>
    <mergeCell ref="D16:D18"/>
    <mergeCell ref="E16:E18"/>
    <mergeCell ref="F16:F18"/>
    <mergeCell ref="G16:G18"/>
    <mergeCell ref="H16:H18"/>
    <mergeCell ref="I16:I18"/>
    <mergeCell ref="A13:A15"/>
    <mergeCell ref="B13:B15"/>
    <mergeCell ref="C13:C15"/>
    <mergeCell ref="D13:D15"/>
    <mergeCell ref="E13:E15"/>
    <mergeCell ref="F13:F15"/>
    <mergeCell ref="G13:G15"/>
    <mergeCell ref="H13:H15"/>
    <mergeCell ref="I13:I15"/>
    <mergeCell ref="H55:H57"/>
    <mergeCell ref="I55:I57"/>
    <mergeCell ref="J55:J57"/>
    <mergeCell ref="K55:K57"/>
    <mergeCell ref="B52:B54"/>
    <mergeCell ref="C52:C54"/>
    <mergeCell ref="D52:D54"/>
    <mergeCell ref="G52:G54"/>
    <mergeCell ref="H52:H54"/>
    <mergeCell ref="I52:I54"/>
    <mergeCell ref="J52:J54"/>
    <mergeCell ref="K52:K54"/>
    <mergeCell ref="E46:E57"/>
    <mergeCell ref="K13:K15"/>
    <mergeCell ref="L13:L15"/>
    <mergeCell ref="M13:M15"/>
    <mergeCell ref="J16:J18"/>
    <mergeCell ref="K16:K18"/>
    <mergeCell ref="L16:L18"/>
    <mergeCell ref="M16:M18"/>
    <mergeCell ref="B49:B51"/>
    <mergeCell ref="C49:C51"/>
    <mergeCell ref="D49:D51"/>
    <mergeCell ref="G49:G51"/>
    <mergeCell ref="H49:H51"/>
    <mergeCell ref="I49:I51"/>
    <mergeCell ref="J49:J51"/>
    <mergeCell ref="K49:K51"/>
    <mergeCell ref="B46:B48"/>
    <mergeCell ref="C46:C48"/>
    <mergeCell ref="D46:D48"/>
    <mergeCell ref="G46:G48"/>
    <mergeCell ref="H46:H48"/>
    <mergeCell ref="I46:I48"/>
    <mergeCell ref="J46:J48"/>
    <mergeCell ref="K46:K48"/>
    <mergeCell ref="I23:I25"/>
    <mergeCell ref="A1:B1"/>
    <mergeCell ref="A2:B2"/>
    <mergeCell ref="C2:M2"/>
    <mergeCell ref="A3:B3"/>
    <mergeCell ref="C3:M3"/>
    <mergeCell ref="A4:B4"/>
    <mergeCell ref="C4:M4"/>
    <mergeCell ref="A5:B5"/>
    <mergeCell ref="C5:M5"/>
    <mergeCell ref="A6:B6"/>
    <mergeCell ref="C6:M6"/>
    <mergeCell ref="U9:W9"/>
    <mergeCell ref="X9:AA9"/>
    <mergeCell ref="H10:K10"/>
    <mergeCell ref="J23:J25"/>
    <mergeCell ref="K23:K25"/>
    <mergeCell ref="L23:AA25"/>
    <mergeCell ref="L46:L48"/>
    <mergeCell ref="M46:M48"/>
    <mergeCell ref="A7:B7"/>
    <mergeCell ref="C7:J7"/>
    <mergeCell ref="K7:M7"/>
    <mergeCell ref="A8:B8"/>
    <mergeCell ref="C8:G8"/>
    <mergeCell ref="H8:S8"/>
    <mergeCell ref="A9:B9"/>
    <mergeCell ref="C9:D9"/>
    <mergeCell ref="E9:N9"/>
    <mergeCell ref="O9:P9"/>
    <mergeCell ref="Q9:R9"/>
    <mergeCell ref="S9:T9"/>
    <mergeCell ref="K41:K43"/>
    <mergeCell ref="J13:J15"/>
    <mergeCell ref="L49:L51"/>
    <mergeCell ref="M49:M51"/>
    <mergeCell ref="L52:L54"/>
    <mergeCell ref="M52:M54"/>
    <mergeCell ref="L55:L57"/>
    <mergeCell ref="M55:M57"/>
    <mergeCell ref="I38:I40"/>
    <mergeCell ref="J38:J40"/>
    <mergeCell ref="K38:K40"/>
    <mergeCell ref="L38:L40"/>
    <mergeCell ref="M38:M40"/>
  </mergeCells>
  <conditionalFormatting sqref="C10:D10">
    <cfRule type="expression" dxfId="1" priority="1" stopIfTrue="1">
      <formula>"The day is saturday"</formula>
    </cfRule>
    <cfRule type="expression" dxfId="0" priority="2" stopIfTrue="1">
      <formula>"The day ocurring on Saturday and sunday"</formula>
    </cfRule>
  </conditionalFormatting>
  <pageMargins left="0.7" right="0.7" top="0.75" bottom="0.75" header="0.3" footer="0.3"/>
  <pageSetup scale="31" orientation="landscape" r:id="rId1"/>
  <colBreaks count="1" manualBreakCount="1">
    <brk id="27"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O2:X30"/>
  <sheetViews>
    <sheetView topLeftCell="M16" workbookViewId="0">
      <selection activeCell="S18" sqref="S18"/>
    </sheetView>
  </sheetViews>
  <sheetFormatPr defaultRowHeight="14.4" x14ac:dyDescent="0.3"/>
  <cols>
    <col min="1" max="14" width="8.88671875" style="101"/>
    <col min="15" max="15" width="5" style="101" customWidth="1"/>
    <col min="16" max="16" width="51" style="101" customWidth="1"/>
    <col min="17" max="17" width="10.88671875" style="101" customWidth="1"/>
    <col min="18" max="18" width="18.44140625" style="101" customWidth="1"/>
    <col min="19" max="19" width="18.109375" style="101" customWidth="1"/>
    <col min="20" max="20" width="17.33203125" style="101" customWidth="1"/>
    <col min="21" max="21" width="17.44140625" style="101" customWidth="1"/>
    <col min="22" max="22" width="17.5546875" style="101" customWidth="1"/>
    <col min="23" max="24" width="13.6640625" style="101" bestFit="1" customWidth="1"/>
    <col min="25" max="16384" width="8.88671875" style="101"/>
  </cols>
  <sheetData>
    <row r="2" spans="15:24" ht="15.6" x14ac:dyDescent="0.3">
      <c r="O2" s="1125" t="s">
        <v>571</v>
      </c>
    </row>
    <row r="3" spans="15:24" ht="15" thickBot="1" x14ac:dyDescent="0.35"/>
    <row r="4" spans="15:24" ht="15.6" x14ac:dyDescent="0.3">
      <c r="O4" s="2001" t="s">
        <v>0</v>
      </c>
      <c r="P4" s="2001" t="s">
        <v>339</v>
      </c>
      <c r="Q4" s="2001" t="s">
        <v>340</v>
      </c>
      <c r="R4" s="1126" t="s">
        <v>341</v>
      </c>
      <c r="S4" s="1126" t="s">
        <v>157</v>
      </c>
      <c r="T4" s="1126" t="s">
        <v>562</v>
      </c>
      <c r="U4" s="1126" t="s">
        <v>794</v>
      </c>
      <c r="V4" s="1126" t="s">
        <v>346</v>
      </c>
    </row>
    <row r="5" spans="15:24" ht="15.6" x14ac:dyDescent="0.3">
      <c r="O5" s="2002"/>
      <c r="P5" s="2002"/>
      <c r="Q5" s="2002"/>
      <c r="R5" s="1127" t="s">
        <v>566</v>
      </c>
      <c r="S5" s="1127" t="s">
        <v>344</v>
      </c>
      <c r="T5" s="1127" t="s">
        <v>567</v>
      </c>
      <c r="U5" s="1127" t="s">
        <v>801</v>
      </c>
      <c r="V5" s="1127" t="s">
        <v>347</v>
      </c>
    </row>
    <row r="6" spans="15:24" ht="31.2" x14ac:dyDescent="0.3">
      <c r="O6" s="2002"/>
      <c r="P6" s="2002"/>
      <c r="Q6" s="2002"/>
      <c r="R6" s="1127" t="s">
        <v>800</v>
      </c>
      <c r="S6" s="1127" t="s">
        <v>342</v>
      </c>
      <c r="T6" s="1127" t="s">
        <v>342</v>
      </c>
      <c r="U6" s="1127" t="s">
        <v>345</v>
      </c>
      <c r="V6" s="1127" t="s">
        <v>348</v>
      </c>
    </row>
    <row r="7" spans="15:24" ht="16.2" thickBot="1" x14ac:dyDescent="0.35">
      <c r="O7" s="2003"/>
      <c r="P7" s="2002"/>
      <c r="Q7" s="2003"/>
      <c r="R7" s="1128"/>
      <c r="S7" s="1128"/>
      <c r="T7" s="1129" t="s">
        <v>343</v>
      </c>
      <c r="U7" s="1128"/>
      <c r="V7" s="1129"/>
    </row>
    <row r="8" spans="15:24" ht="16.2" thickBot="1" x14ac:dyDescent="0.35">
      <c r="O8" s="1130">
        <v>1</v>
      </c>
      <c r="P8" s="1131" t="s">
        <v>349</v>
      </c>
      <c r="Q8" s="1132" t="s">
        <v>28</v>
      </c>
      <c r="R8" s="1133">
        <v>106865745.09</v>
      </c>
      <c r="S8" s="1133">
        <f>'Table 7. Mulyi year'!E57</f>
        <v>201800326.82999998</v>
      </c>
      <c r="T8" s="1133">
        <f>'Table 7. Mulyi year'!F57</f>
        <v>207257794.78</v>
      </c>
      <c r="U8" s="1133">
        <f>'Table 7. Mulyi year'!G57</f>
        <v>240648204.72999999</v>
      </c>
      <c r="V8" s="1133"/>
    </row>
    <row r="9" spans="15:24" ht="16.2" thickBot="1" x14ac:dyDescent="0.35">
      <c r="O9" s="1130">
        <v>2</v>
      </c>
      <c r="P9" s="1134" t="s">
        <v>350</v>
      </c>
      <c r="Q9" s="1135" t="s">
        <v>28</v>
      </c>
      <c r="R9" s="1133">
        <f>'Table 7. Mulyi year'!D9-'Table 7. Mulyi year'!D6</f>
        <v>56524149.289999992</v>
      </c>
      <c r="S9" s="1133">
        <f>'Table 7. Mulyi year'!E9-'Table 7. Mulyi year'!E6</f>
        <v>76279153.609999999</v>
      </c>
      <c r="T9" s="1133">
        <f>'Table 7. Mulyi year'!F9-'Table 7. Mulyi year'!F6</f>
        <v>82711326.150000021</v>
      </c>
      <c r="U9" s="1133">
        <f>'Table 7. Mulyi year'!G9-'Table 7. Mulyi year'!G6</f>
        <v>94949734.039999992</v>
      </c>
      <c r="V9" s="1133"/>
    </row>
    <row r="10" spans="15:24" ht="16.2" thickBot="1" x14ac:dyDescent="0.35">
      <c r="O10" s="1130">
        <v>3</v>
      </c>
      <c r="P10" s="1131" t="s">
        <v>351</v>
      </c>
      <c r="Q10" s="1136" t="s">
        <v>28</v>
      </c>
      <c r="R10" s="1133">
        <f>'Table 7. Mulyi year'!D6</f>
        <v>8666083.5899999999</v>
      </c>
      <c r="S10" s="1133">
        <f>'Table 7. Mulyi year'!E6</f>
        <v>6183802.3099999996</v>
      </c>
      <c r="T10" s="1133">
        <f>'Table 7. Mulyi year'!F6</f>
        <v>6802182.54</v>
      </c>
      <c r="U10" s="1133">
        <f>'Table 7. Mulyi year'!G6</f>
        <v>7482400.7999999998</v>
      </c>
      <c r="V10" s="1133"/>
    </row>
    <row r="11" spans="15:24" ht="16.2" thickBot="1" x14ac:dyDescent="0.35">
      <c r="O11" s="1130">
        <v>4</v>
      </c>
      <c r="P11" s="1134" t="s">
        <v>352</v>
      </c>
      <c r="Q11" s="1135" t="s">
        <v>28</v>
      </c>
      <c r="R11" s="1137">
        <f>R9+R10</f>
        <v>65190232.879999995</v>
      </c>
      <c r="S11" s="1137">
        <f t="shared" ref="S11:U11" si="0">S9+S10</f>
        <v>82462955.920000002</v>
      </c>
      <c r="T11" s="1137">
        <f t="shared" si="0"/>
        <v>89513508.690000027</v>
      </c>
      <c r="U11" s="1137">
        <f t="shared" si="0"/>
        <v>102432134.83999999</v>
      </c>
      <c r="V11" s="1137"/>
      <c r="W11" s="288">
        <f>R11-R10</f>
        <v>56524149.289999992</v>
      </c>
      <c r="X11" s="288">
        <f>S11-S10</f>
        <v>76279153.609999999</v>
      </c>
    </row>
    <row r="12" spans="15:24" ht="31.8" thickBot="1" x14ac:dyDescent="0.35">
      <c r="O12" s="1130">
        <v>5</v>
      </c>
      <c r="P12" s="1134" t="s">
        <v>353</v>
      </c>
      <c r="Q12" s="1135" t="s">
        <v>354</v>
      </c>
      <c r="R12" s="1138">
        <f>R10/R11</f>
        <v>0.13293530651980087</v>
      </c>
      <c r="S12" s="1138">
        <f t="shared" ref="S12:U12" si="1">S10/S11</f>
        <v>7.4988850945376093E-2</v>
      </c>
      <c r="T12" s="1138">
        <f t="shared" si="1"/>
        <v>7.5990569910035305E-2</v>
      </c>
      <c r="U12" s="1138">
        <f t="shared" si="1"/>
        <v>7.3047396812412277E-2</v>
      </c>
      <c r="V12" s="1138"/>
      <c r="X12" s="288">
        <f>T11-T10</f>
        <v>82711326.150000021</v>
      </c>
    </row>
    <row r="13" spans="15:24" ht="16.2" thickBot="1" x14ac:dyDescent="0.35">
      <c r="O13" s="1139">
        <v>6</v>
      </c>
      <c r="P13" s="1135" t="s">
        <v>355</v>
      </c>
      <c r="Q13" s="1135" t="s">
        <v>28</v>
      </c>
      <c r="R13" s="1133">
        <f>'Table 7. Mulyi year'!D41</f>
        <v>226370251</v>
      </c>
      <c r="S13" s="1133">
        <f>'Table 7. Mulyi year'!E41</f>
        <v>261660406</v>
      </c>
      <c r="T13" s="1133">
        <f>'Table 7. Mulyi year'!F41</f>
        <v>287826446.60000002</v>
      </c>
      <c r="U13" s="1133">
        <f>'Table 7. Mulyi year'!G41</f>
        <v>345391735.92000002</v>
      </c>
      <c r="V13" s="1133"/>
      <c r="X13" s="288">
        <f>U11-U10</f>
        <v>94949734.039999992</v>
      </c>
    </row>
    <row r="14" spans="15:24" ht="31.8" thickBot="1" x14ac:dyDescent="0.35">
      <c r="O14" s="1139">
        <v>7</v>
      </c>
      <c r="P14" s="1135" t="s">
        <v>356</v>
      </c>
      <c r="Q14" s="1135" t="s">
        <v>28</v>
      </c>
      <c r="R14" s="1140">
        <f>R15+R16</f>
        <v>16146751.85</v>
      </c>
      <c r="S14" s="1140">
        <f t="shared" ref="S14:U14" si="2">S15+S16</f>
        <v>20185143.57</v>
      </c>
      <c r="T14" s="1140">
        <f t="shared" si="2"/>
        <v>22203657.93</v>
      </c>
      <c r="U14" s="1140">
        <f t="shared" si="2"/>
        <v>24424023.719999999</v>
      </c>
      <c r="V14" s="1133"/>
    </row>
    <row r="15" spans="15:24" ht="31.8" thickBot="1" x14ac:dyDescent="0.35">
      <c r="O15" s="1139" t="s">
        <v>357</v>
      </c>
      <c r="P15" s="1135" t="s">
        <v>358</v>
      </c>
      <c r="Q15" s="1141" t="s">
        <v>28</v>
      </c>
      <c r="R15" s="1863">
        <v>2000000</v>
      </c>
      <c r="S15" s="1133">
        <v>2135150</v>
      </c>
      <c r="T15" s="1133">
        <v>2135150</v>
      </c>
      <c r="U15" s="1133">
        <v>2135150</v>
      </c>
      <c r="V15" s="1133"/>
    </row>
    <row r="16" spans="15:24" ht="31.8" thickBot="1" x14ac:dyDescent="0.35">
      <c r="O16" s="1139" t="s">
        <v>359</v>
      </c>
      <c r="P16" s="1135" t="s">
        <v>360</v>
      </c>
      <c r="Q16" s="1141" t="s">
        <v>28</v>
      </c>
      <c r="R16" s="1864">
        <v>14146751.85</v>
      </c>
      <c r="S16" s="1133">
        <v>18049993.57</v>
      </c>
      <c r="T16" s="1133">
        <v>20068507.93</v>
      </c>
      <c r="U16" s="1133">
        <v>22288873.719999999</v>
      </c>
      <c r="V16" s="1133"/>
    </row>
    <row r="17" spans="15:22" ht="34.5" customHeight="1" thickBot="1" x14ac:dyDescent="0.35">
      <c r="O17" s="1139">
        <v>8</v>
      </c>
      <c r="P17" s="1135" t="s">
        <v>361</v>
      </c>
      <c r="Q17" s="1141" t="s">
        <v>354</v>
      </c>
      <c r="R17" s="1865">
        <f>R14/R9</f>
        <v>0.28566112100437419</v>
      </c>
      <c r="S17" s="1865">
        <f t="shared" ref="S17:U17" si="3">S14/S9</f>
        <v>0.26462201813620778</v>
      </c>
      <c r="T17" s="1865">
        <f t="shared" si="3"/>
        <v>0.2684476112707086</v>
      </c>
      <c r="U17" s="1865">
        <f t="shared" si="3"/>
        <v>0.25723109145003775</v>
      </c>
      <c r="V17" s="1142"/>
    </row>
    <row r="18" spans="15:22" ht="15" customHeight="1" thickBot="1" x14ac:dyDescent="0.35">
      <c r="O18" s="1139">
        <v>9</v>
      </c>
      <c r="P18" s="1139" t="s">
        <v>362</v>
      </c>
      <c r="Q18" s="1135" t="s">
        <v>28</v>
      </c>
      <c r="R18" s="1133">
        <v>47429742.109999999</v>
      </c>
      <c r="S18" s="1133">
        <v>32076271.559999999</v>
      </c>
      <c r="T18" s="1133">
        <f t="shared" ref="T18:U19" si="4">S18*1.1</f>
        <v>35283898.715999998</v>
      </c>
      <c r="U18" s="1133">
        <f t="shared" si="4"/>
        <v>38812288.5876</v>
      </c>
      <c r="V18" s="1133"/>
    </row>
    <row r="19" spans="15:22" ht="15" customHeight="1" thickBot="1" x14ac:dyDescent="0.35">
      <c r="O19" s="1131">
        <v>10</v>
      </c>
      <c r="P19" s="1143" t="s">
        <v>363</v>
      </c>
      <c r="Q19" s="1135" t="s">
        <v>28</v>
      </c>
      <c r="R19" s="1140">
        <v>2040130415.05</v>
      </c>
      <c r="S19" s="1133">
        <v>2101139520</v>
      </c>
      <c r="T19" s="1133">
        <f t="shared" si="4"/>
        <v>2311253472</v>
      </c>
      <c r="U19" s="1133">
        <f t="shared" si="4"/>
        <v>2542378819.2000003</v>
      </c>
      <c r="V19" s="1133"/>
    </row>
    <row r="20" spans="15:22" ht="15.6" x14ac:dyDescent="0.3">
      <c r="O20" s="1144">
        <v>11</v>
      </c>
      <c r="P20" s="1134" t="s">
        <v>364</v>
      </c>
      <c r="Q20" s="1145" t="s">
        <v>354</v>
      </c>
      <c r="R20" s="1866">
        <f>R14/R18</f>
        <v>0.34043516012699654</v>
      </c>
      <c r="S20" s="1866">
        <f t="shared" ref="S20:U20" si="5">S14/S18</f>
        <v>0.62928584240979657</v>
      </c>
      <c r="T20" s="1866">
        <f t="shared" si="5"/>
        <v>0.62928584249482122</v>
      </c>
      <c r="U20" s="1866">
        <f t="shared" si="5"/>
        <v>0.62928584241752605</v>
      </c>
      <c r="V20" s="1142"/>
    </row>
    <row r="21" spans="15:22" ht="18.75" customHeight="1" thickBot="1" x14ac:dyDescent="0.35">
      <c r="O21" s="1144"/>
      <c r="P21" s="1134" t="s">
        <v>365</v>
      </c>
      <c r="Q21" s="1131"/>
      <c r="R21" s="1146"/>
      <c r="S21" s="1146"/>
      <c r="T21" s="1146"/>
      <c r="U21" s="1146"/>
      <c r="V21" s="1146"/>
    </row>
    <row r="22" spans="15:22" ht="16.2" thickBot="1" x14ac:dyDescent="0.35">
      <c r="O22" s="1144">
        <v>12</v>
      </c>
      <c r="P22" s="1134" t="s">
        <v>366</v>
      </c>
      <c r="Q22" s="1134" t="s">
        <v>354</v>
      </c>
      <c r="R22" s="1147">
        <f>R14/R19</f>
        <v>7.9145684662537963E-3</v>
      </c>
      <c r="S22" s="1147">
        <f t="shared" ref="S22:U22" si="6">S14/S19</f>
        <v>9.6067602259939412E-3</v>
      </c>
      <c r="T22" s="1147">
        <f t="shared" si="6"/>
        <v>9.6067602272919377E-3</v>
      </c>
      <c r="U22" s="1147">
        <f t="shared" si="6"/>
        <v>9.6067602261119388E-3</v>
      </c>
      <c r="V22" s="1147"/>
    </row>
    <row r="23" spans="15:22" ht="17.25" customHeight="1" thickBot="1" x14ac:dyDescent="0.35">
      <c r="O23" s="1148">
        <v>13</v>
      </c>
      <c r="P23" s="1135" t="s">
        <v>367</v>
      </c>
      <c r="Q23" s="1135" t="s">
        <v>354</v>
      </c>
      <c r="R23" s="1147">
        <f>R14/R8</f>
        <v>0.15109380313028797</v>
      </c>
      <c r="S23" s="1147">
        <f t="shared" ref="S23:U23" si="7">S14/S8</f>
        <v>0.10002532645551317</v>
      </c>
      <c r="T23" s="1147">
        <f t="shared" si="7"/>
        <v>0.107130629048566</v>
      </c>
      <c r="U23" s="1147">
        <f t="shared" si="7"/>
        <v>0.10149264877086041</v>
      </c>
      <c r="V23" s="1147"/>
    </row>
    <row r="24" spans="15:22" ht="30" customHeight="1" thickBot="1" x14ac:dyDescent="0.35">
      <c r="O24" s="1148">
        <v>14</v>
      </c>
      <c r="P24" s="1135" t="s">
        <v>368</v>
      </c>
      <c r="Q24" s="1135" t="s">
        <v>354</v>
      </c>
      <c r="R24" s="1147">
        <f>R14/R11</f>
        <v>0.24768667232286778</v>
      </c>
      <c r="S24" s="1147">
        <f t="shared" ref="S24:U24" si="8">S14/S11</f>
        <v>0.24477831706132708</v>
      </c>
      <c r="T24" s="1147">
        <f t="shared" si="8"/>
        <v>0.24804812429925982</v>
      </c>
      <c r="U24" s="1147">
        <f t="shared" si="8"/>
        <v>0.23844102984039692</v>
      </c>
      <c r="V24" s="1147"/>
    </row>
    <row r="25" spans="15:22" ht="16.2" thickBot="1" x14ac:dyDescent="0.35">
      <c r="O25" s="1148">
        <v>15</v>
      </c>
      <c r="P25" s="1135" t="s">
        <v>369</v>
      </c>
      <c r="Q25" s="1135" t="s">
        <v>28</v>
      </c>
      <c r="R25" s="1149">
        <f>'Table 7. Mulyi year'!D24</f>
        <v>26036241.23</v>
      </c>
      <c r="S25" s="1149">
        <f>'Table 7. Mulyi year'!E24</f>
        <v>6640648.4900000002</v>
      </c>
      <c r="T25" s="1149">
        <f>'Table 7. Mulyi year'!F24</f>
        <v>1162230</v>
      </c>
      <c r="U25" s="1149">
        <f>'Table 7. Mulyi year'!G24</f>
        <v>9129595.9600000009</v>
      </c>
      <c r="V25" s="1149"/>
    </row>
    <row r="26" spans="15:22" ht="31.8" thickBot="1" x14ac:dyDescent="0.35">
      <c r="O26" s="1148">
        <v>16</v>
      </c>
      <c r="P26" s="1135" t="s">
        <v>370</v>
      </c>
      <c r="Q26" s="1135" t="s">
        <v>354</v>
      </c>
      <c r="R26" s="1146">
        <f>R25/R9</f>
        <v>0.46062154949771567</v>
      </c>
      <c r="S26" s="1146">
        <f t="shared" ref="S26:U26" si="9">S25/S9</f>
        <v>8.7057186344152465E-2</v>
      </c>
      <c r="T26" s="1146">
        <f t="shared" si="9"/>
        <v>1.4051642672156571E-2</v>
      </c>
      <c r="U26" s="1146">
        <f t="shared" si="9"/>
        <v>9.6151885545608023E-2</v>
      </c>
      <c r="V26" s="1146"/>
    </row>
    <row r="29" spans="15:22" x14ac:dyDescent="0.3">
      <c r="O29" s="225" t="s">
        <v>371</v>
      </c>
    </row>
    <row r="30" spans="15:22" x14ac:dyDescent="0.3">
      <c r="O30" s="225" t="s">
        <v>372</v>
      </c>
    </row>
  </sheetData>
  <mergeCells count="3">
    <mergeCell ref="O4:O7"/>
    <mergeCell ref="P4:P7"/>
    <mergeCell ref="Q4:Q7"/>
  </mergeCells>
  <hyperlinks>
    <hyperlink ref="P15" location="_ftn1" display="_ftn1"/>
    <hyperlink ref="O29" location="_ftnref1" display="_ftnref1"/>
    <hyperlink ref="O30" location="_ftnref2" display="_ftnref2"/>
    <hyperlink ref="P19" location="_ftn2" display="_ftn2"/>
  </hyperlinks>
  <pageMargins left="0.7" right="0.7" top="0.75" bottom="0.75" header="0.3" footer="0.3"/>
  <pageSetup scale="8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view="pageBreakPreview" topLeftCell="A7" zoomScale="80" zoomScaleNormal="100" zoomScaleSheetLayoutView="80" workbookViewId="0">
      <selection activeCell="R7" sqref="R7"/>
    </sheetView>
  </sheetViews>
  <sheetFormatPr defaultColWidth="9.109375" defaultRowHeight="10.199999999999999" x14ac:dyDescent="0.2"/>
  <cols>
    <col min="1" max="1" width="5.44140625" style="9" customWidth="1"/>
    <col min="2" max="2" width="23.33203125" style="8" customWidth="1"/>
    <col min="3" max="3" width="9.109375" style="8"/>
    <col min="4" max="4" width="9.33203125" style="708" bestFit="1" customWidth="1"/>
    <col min="5" max="5" width="17.109375" style="8" customWidth="1"/>
    <col min="6" max="6" width="18.33203125" style="25" customWidth="1"/>
    <col min="7" max="7" width="11.88671875" style="8" customWidth="1"/>
    <col min="8" max="8" width="15.77734375" style="8" customWidth="1"/>
    <col min="9" max="9" width="12" style="8" bestFit="1" customWidth="1"/>
    <col min="10" max="10" width="6.6640625" style="8" customWidth="1"/>
    <col min="11" max="12" width="9.109375" style="8"/>
    <col min="13" max="13" width="9.109375" style="26"/>
    <col min="14" max="19" width="9.33203125" style="8" bestFit="1" customWidth="1"/>
    <col min="20" max="20" width="8.33203125" style="8" customWidth="1"/>
    <col min="21" max="21" width="9.109375" style="8"/>
    <col min="22" max="25" width="9.109375" style="9"/>
    <col min="26" max="26" width="11.6640625" style="8" bestFit="1" customWidth="1"/>
    <col min="27" max="43" width="9.109375" style="7"/>
    <col min="44" max="16384" width="9.109375" style="8"/>
  </cols>
  <sheetData>
    <row r="1" spans="1:43" x14ac:dyDescent="0.2">
      <c r="M1" s="29"/>
      <c r="N1" s="30"/>
      <c r="O1" s="30"/>
      <c r="P1" s="30"/>
      <c r="Q1" s="30"/>
      <c r="R1" s="30"/>
      <c r="S1" s="30"/>
      <c r="T1" s="7"/>
    </row>
    <row r="2" spans="1:43" x14ac:dyDescent="0.2">
      <c r="A2" s="2328" t="s">
        <v>33</v>
      </c>
      <c r="B2" s="2329"/>
      <c r="C2" s="2330" t="s">
        <v>34</v>
      </c>
      <c r="D2" s="2331"/>
      <c r="E2" s="2331"/>
      <c r="F2" s="2331"/>
      <c r="G2" s="2331"/>
      <c r="H2" s="2331"/>
      <c r="I2" s="2331"/>
      <c r="J2" s="2331"/>
      <c r="K2" s="2331"/>
      <c r="L2" s="2331"/>
      <c r="M2" s="5"/>
      <c r="N2" s="5"/>
      <c r="O2" s="5"/>
      <c r="P2" s="6"/>
      <c r="Q2" s="6"/>
      <c r="R2" s="6"/>
      <c r="S2" s="6"/>
      <c r="T2" s="7"/>
    </row>
    <row r="3" spans="1:43" x14ac:dyDescent="0.2">
      <c r="A3" s="2332" t="s">
        <v>35</v>
      </c>
      <c r="B3" s="2329"/>
      <c r="C3" s="2333" t="s">
        <v>520</v>
      </c>
      <c r="D3" s="2334"/>
      <c r="E3" s="2334"/>
      <c r="F3" s="2334"/>
      <c r="G3" s="2334"/>
      <c r="H3" s="2334"/>
      <c r="I3" s="2334"/>
      <c r="J3" s="2334"/>
      <c r="K3" s="2334"/>
      <c r="L3" s="2334"/>
      <c r="M3" s="10"/>
      <c r="N3" s="10"/>
      <c r="O3" s="10"/>
      <c r="P3" s="6"/>
      <c r="Q3" s="6"/>
      <c r="R3" s="6"/>
      <c r="S3" s="6"/>
      <c r="T3" s="7"/>
    </row>
    <row r="4" spans="1:43" x14ac:dyDescent="0.2">
      <c r="A4" s="2332" t="s">
        <v>36</v>
      </c>
      <c r="B4" s="2329"/>
      <c r="C4" s="2333" t="s">
        <v>37</v>
      </c>
      <c r="D4" s="2334"/>
      <c r="E4" s="2334"/>
      <c r="F4" s="2334"/>
      <c r="G4" s="2334"/>
      <c r="H4" s="2334"/>
      <c r="I4" s="2334"/>
      <c r="J4" s="2334"/>
      <c r="K4" s="2334"/>
      <c r="L4" s="2334"/>
      <c r="M4" s="10"/>
      <c r="N4" s="10"/>
      <c r="O4" s="10"/>
      <c r="P4" s="6"/>
      <c r="Q4" s="6"/>
      <c r="R4" s="6"/>
      <c r="S4" s="6"/>
      <c r="T4" s="7"/>
    </row>
    <row r="5" spans="1:43" x14ac:dyDescent="0.2">
      <c r="A5" s="2332" t="s">
        <v>38</v>
      </c>
      <c r="B5" s="2329"/>
      <c r="C5" s="2333" t="s">
        <v>32</v>
      </c>
      <c r="D5" s="2334"/>
      <c r="E5" s="2334"/>
      <c r="F5" s="2334"/>
      <c r="G5" s="2334"/>
      <c r="H5" s="2334"/>
      <c r="I5" s="2334"/>
      <c r="J5" s="2334"/>
      <c r="K5" s="2334"/>
      <c r="L5" s="2334"/>
      <c r="M5" s="10"/>
      <c r="N5" s="10"/>
      <c r="O5" s="10"/>
      <c r="P5" s="6"/>
      <c r="Q5" s="6"/>
      <c r="R5" s="6"/>
      <c r="S5" s="6"/>
      <c r="T5" s="7"/>
    </row>
    <row r="6" spans="1:43" x14ac:dyDescent="0.2">
      <c r="A6" s="2332" t="s">
        <v>39</v>
      </c>
      <c r="B6" s="2329"/>
      <c r="C6" s="2335" t="s">
        <v>522</v>
      </c>
      <c r="D6" s="2336"/>
      <c r="E6" s="2336"/>
      <c r="F6" s="2336"/>
      <c r="G6" s="2336"/>
      <c r="H6" s="2336"/>
      <c r="I6" s="2336"/>
      <c r="J6" s="2336"/>
      <c r="K6" s="2336"/>
      <c r="L6" s="2336"/>
      <c r="M6" s="11"/>
      <c r="N6" s="11"/>
      <c r="O6" s="11"/>
      <c r="P6" s="12"/>
      <c r="Q6" s="12"/>
      <c r="R6" s="12"/>
      <c r="S6" s="12"/>
      <c r="T6" s="7"/>
    </row>
    <row r="7" spans="1:43" x14ac:dyDescent="0.2">
      <c r="A7" s="2332" t="s">
        <v>40</v>
      </c>
      <c r="B7" s="2329"/>
      <c r="C7" s="2337" t="s">
        <v>41</v>
      </c>
      <c r="D7" s="2338"/>
      <c r="E7" s="2338"/>
      <c r="F7" s="2338"/>
      <c r="G7" s="2338"/>
      <c r="H7" s="2338"/>
      <c r="I7" s="2338"/>
      <c r="J7" s="2338"/>
      <c r="K7" s="2338"/>
      <c r="L7" s="2338"/>
      <c r="M7" s="13"/>
      <c r="N7" s="13"/>
      <c r="O7" s="13"/>
      <c r="P7" s="12"/>
      <c r="Q7" s="12"/>
      <c r="R7" s="12"/>
      <c r="S7" s="14"/>
      <c r="T7" s="7"/>
    </row>
    <row r="8" spans="1:43" x14ac:dyDescent="0.2">
      <c r="A8" s="2332" t="s">
        <v>42</v>
      </c>
      <c r="B8" s="2329"/>
      <c r="C8" s="2339" t="s">
        <v>43</v>
      </c>
      <c r="D8" s="2339"/>
      <c r="E8" s="2339"/>
      <c r="F8" s="2339"/>
      <c r="G8" s="2339"/>
      <c r="H8" s="2339"/>
      <c r="I8" s="2339"/>
      <c r="J8" s="2340" t="s">
        <v>705</v>
      </c>
      <c r="K8" s="2341"/>
      <c r="L8" s="2341"/>
      <c r="M8" s="13"/>
      <c r="N8" s="13"/>
      <c r="O8" s="13"/>
      <c r="P8" s="12"/>
      <c r="Q8" s="12"/>
      <c r="R8" s="12"/>
      <c r="S8" s="12"/>
      <c r="T8" s="7"/>
    </row>
    <row r="9" spans="1:43" ht="10.8" thickBot="1" x14ac:dyDescent="0.25">
      <c r="A9" s="2342" t="s">
        <v>44</v>
      </c>
      <c r="B9" s="2343"/>
      <c r="C9" s="2344" t="s">
        <v>45</v>
      </c>
      <c r="D9" s="2345"/>
      <c r="E9" s="2345"/>
      <c r="F9" s="2345"/>
      <c r="G9" s="2346"/>
      <c r="H9" s="2346"/>
      <c r="I9" s="2346"/>
      <c r="J9" s="2346"/>
      <c r="K9" s="2346"/>
      <c r="L9" s="2346"/>
      <c r="M9" s="2347"/>
      <c r="N9" s="2347"/>
      <c r="O9" s="2347"/>
      <c r="P9" s="2347"/>
      <c r="Q9" s="2347"/>
      <c r="R9" s="2347"/>
      <c r="S9" s="2347"/>
      <c r="T9" s="15"/>
      <c r="U9" s="15"/>
      <c r="V9" s="16"/>
      <c r="W9" s="16"/>
      <c r="X9" s="16"/>
      <c r="Y9" s="2348" t="s">
        <v>23</v>
      </c>
      <c r="Z9" s="2348"/>
      <c r="AC9" s="7" t="e">
        <f>#REF!-#REF!</f>
        <v>#REF!</v>
      </c>
    </row>
    <row r="10" spans="1:43" ht="11.4" thickTop="1" x14ac:dyDescent="0.2">
      <c r="A10" s="2358" t="s">
        <v>46</v>
      </c>
      <c r="B10" s="2360" t="s">
        <v>47</v>
      </c>
      <c r="C10" s="2349" t="s">
        <v>48</v>
      </c>
      <c r="D10" s="2350"/>
      <c r="E10" s="2349" t="s">
        <v>49</v>
      </c>
      <c r="F10" s="2351"/>
      <c r="G10" s="2351"/>
      <c r="H10" s="2351"/>
      <c r="I10" s="2351"/>
      <c r="J10" s="2351"/>
      <c r="K10" s="2351"/>
      <c r="L10" s="2351"/>
      <c r="M10" s="1867"/>
      <c r="N10" s="2353" t="s">
        <v>50</v>
      </c>
      <c r="O10" s="2354"/>
      <c r="P10" s="2349" t="s">
        <v>51</v>
      </c>
      <c r="Q10" s="2350"/>
      <c r="R10" s="2349" t="s">
        <v>52</v>
      </c>
      <c r="S10" s="2350"/>
      <c r="T10" s="2349" t="s">
        <v>53</v>
      </c>
      <c r="U10" s="2351"/>
      <c r="V10" s="2350"/>
      <c r="W10" s="2349" t="s">
        <v>54</v>
      </c>
      <c r="X10" s="2351"/>
      <c r="Y10" s="2351"/>
      <c r="Z10" s="2352"/>
    </row>
    <row r="11" spans="1:43" ht="75.599999999999994" x14ac:dyDescent="0.25">
      <c r="A11" s="2359"/>
      <c r="B11" s="2361"/>
      <c r="C11" s="1868" t="s">
        <v>5</v>
      </c>
      <c r="D11" s="1869" t="s">
        <v>55</v>
      </c>
      <c r="E11" s="1868" t="s">
        <v>56</v>
      </c>
      <c r="F11" s="1870" t="s">
        <v>58</v>
      </c>
      <c r="G11" s="2355" t="s">
        <v>59</v>
      </c>
      <c r="H11" s="2356"/>
      <c r="I11" s="2356"/>
      <c r="J11" s="2357"/>
      <c r="K11" s="1868" t="s">
        <v>60</v>
      </c>
      <c r="L11" s="1868" t="s">
        <v>61</v>
      </c>
      <c r="M11" s="1868" t="s">
        <v>62</v>
      </c>
      <c r="N11" s="1868" t="s">
        <v>63</v>
      </c>
      <c r="O11" s="1868" t="s">
        <v>64</v>
      </c>
      <c r="P11" s="1868" t="s">
        <v>65</v>
      </c>
      <c r="Q11" s="1868" t="s">
        <v>66</v>
      </c>
      <c r="R11" s="1868" t="s">
        <v>67</v>
      </c>
      <c r="S11" s="1868" t="s">
        <v>64</v>
      </c>
      <c r="T11" s="1868" t="s">
        <v>68</v>
      </c>
      <c r="U11" s="1868" t="s">
        <v>69</v>
      </c>
      <c r="V11" s="1868" t="s">
        <v>70</v>
      </c>
      <c r="W11" s="1868" t="s">
        <v>71</v>
      </c>
      <c r="X11" s="1868" t="s">
        <v>72</v>
      </c>
      <c r="Y11" s="1868" t="s">
        <v>73</v>
      </c>
      <c r="Z11" s="1871" t="s">
        <v>74</v>
      </c>
    </row>
    <row r="12" spans="1:43" ht="20.399999999999999" x14ac:dyDescent="0.2">
      <c r="A12" s="31"/>
      <c r="B12" s="32"/>
      <c r="C12" s="33"/>
      <c r="D12" s="34"/>
      <c r="E12" s="35"/>
      <c r="F12" s="36"/>
      <c r="G12" s="35" t="s">
        <v>75</v>
      </c>
      <c r="H12" s="37" t="s">
        <v>76</v>
      </c>
      <c r="I12" s="38" t="s">
        <v>77</v>
      </c>
      <c r="J12" s="39" t="s">
        <v>78</v>
      </c>
      <c r="K12" s="35"/>
      <c r="L12" s="40"/>
      <c r="M12" s="41"/>
      <c r="N12" s="42" t="s">
        <v>79</v>
      </c>
      <c r="O12" s="42" t="s">
        <v>80</v>
      </c>
      <c r="P12" s="42" t="s">
        <v>81</v>
      </c>
      <c r="Q12" s="42" t="s">
        <v>82</v>
      </c>
      <c r="R12" s="42" t="s">
        <v>83</v>
      </c>
      <c r="S12" s="42" t="s">
        <v>84</v>
      </c>
      <c r="T12" s="43"/>
      <c r="U12" s="42" t="s">
        <v>84</v>
      </c>
      <c r="V12" s="42" t="s">
        <v>85</v>
      </c>
      <c r="W12" s="43" t="s">
        <v>86</v>
      </c>
      <c r="X12" s="43" t="s">
        <v>87</v>
      </c>
      <c r="Y12" s="43" t="s">
        <v>88</v>
      </c>
      <c r="Z12" s="79"/>
    </row>
    <row r="13" spans="1:43" x14ac:dyDescent="0.2">
      <c r="A13" s="51"/>
      <c r="B13" s="52" t="s">
        <v>435</v>
      </c>
      <c r="C13" s="52"/>
      <c r="D13" s="709"/>
      <c r="E13" s="52"/>
      <c r="F13" s="52"/>
      <c r="G13" s="52"/>
      <c r="H13" s="52"/>
      <c r="I13" s="52"/>
      <c r="J13" s="52"/>
      <c r="K13" s="52"/>
      <c r="L13" s="54"/>
      <c r="M13" s="55"/>
      <c r="N13" s="27"/>
      <c r="O13" s="27"/>
      <c r="P13" s="27"/>
      <c r="Q13" s="27"/>
      <c r="R13" s="27"/>
      <c r="S13" s="27"/>
      <c r="T13" s="56"/>
      <c r="U13" s="27"/>
      <c r="V13" s="48"/>
      <c r="W13" s="48"/>
      <c r="X13" s="48"/>
      <c r="Y13" s="48"/>
      <c r="Z13" s="80"/>
    </row>
    <row r="14" spans="1:43" ht="13.2" x14ac:dyDescent="0.25">
      <c r="B14" s="57"/>
      <c r="F14" s="8"/>
      <c r="L14" s="58"/>
      <c r="M14" s="55"/>
      <c r="N14" s="27"/>
      <c r="O14" s="27"/>
      <c r="P14" s="27"/>
      <c r="Q14" s="27"/>
      <c r="R14" s="27"/>
      <c r="S14" s="27"/>
      <c r="T14" s="27"/>
      <c r="U14" s="27"/>
      <c r="V14" s="48"/>
      <c r="W14" s="48"/>
      <c r="X14" s="48"/>
      <c r="Y14" s="48"/>
      <c r="Z14" s="80"/>
    </row>
    <row r="15" spans="1:43" x14ac:dyDescent="0.2">
      <c r="A15" s="82">
        <v>1</v>
      </c>
      <c r="B15" s="83" t="s">
        <v>418</v>
      </c>
      <c r="F15" s="8"/>
      <c r="AA15" s="8"/>
      <c r="AB15" s="8"/>
      <c r="AC15" s="8"/>
      <c r="AD15" s="8"/>
      <c r="AE15" s="8"/>
      <c r="AF15" s="8"/>
      <c r="AG15" s="8"/>
      <c r="AH15" s="8"/>
      <c r="AI15" s="8"/>
      <c r="AJ15" s="8"/>
      <c r="AK15" s="8"/>
      <c r="AL15" s="8"/>
      <c r="AM15" s="8"/>
      <c r="AN15" s="8"/>
      <c r="AO15" s="8"/>
      <c r="AP15" s="8"/>
      <c r="AQ15" s="8"/>
    </row>
    <row r="16" spans="1:43" x14ac:dyDescent="0.2">
      <c r="A16" s="2306">
        <v>1.1000000000000001</v>
      </c>
      <c r="B16" s="2313" t="s">
        <v>551</v>
      </c>
      <c r="C16" s="2306" t="s">
        <v>10</v>
      </c>
      <c r="D16" s="2454">
        <v>5847.16</v>
      </c>
      <c r="E16" s="2316" t="s">
        <v>968</v>
      </c>
      <c r="F16" s="2455">
        <v>500000</v>
      </c>
      <c r="G16" s="2310"/>
      <c r="H16" s="2310">
        <f>F16</f>
        <v>500000</v>
      </c>
      <c r="I16" s="2310"/>
      <c r="J16" s="2294"/>
      <c r="K16" s="2297" t="s">
        <v>90</v>
      </c>
      <c r="L16" s="2297" t="s">
        <v>91</v>
      </c>
      <c r="M16" s="44" t="s">
        <v>92</v>
      </c>
      <c r="N16" s="45">
        <v>44055</v>
      </c>
      <c r="O16" s="46">
        <f>N16+7</f>
        <v>44062</v>
      </c>
      <c r="P16" s="47">
        <f>O16+7</f>
        <v>44069</v>
      </c>
      <c r="Q16" s="47">
        <f>P16+30</f>
        <v>44099</v>
      </c>
      <c r="R16" s="47">
        <f>Q16+14</f>
        <v>44113</v>
      </c>
      <c r="S16" s="47">
        <f>R16+7</f>
        <v>44120</v>
      </c>
      <c r="T16" s="2303"/>
      <c r="U16" s="47">
        <f>S16+14</f>
        <v>44134</v>
      </c>
      <c r="V16" s="47">
        <f>U16+14</f>
        <v>44148</v>
      </c>
      <c r="W16" s="47">
        <f>V16+7</f>
        <v>44155</v>
      </c>
      <c r="X16" s="47">
        <f>W16+120</f>
        <v>44275</v>
      </c>
      <c r="Y16" s="47">
        <f>X16+365</f>
        <v>44640</v>
      </c>
      <c r="Z16" s="27"/>
      <c r="AA16" s="8"/>
      <c r="AB16" s="8"/>
      <c r="AC16" s="8"/>
      <c r="AD16" s="8"/>
      <c r="AE16" s="8"/>
      <c r="AF16" s="8"/>
      <c r="AG16" s="8"/>
      <c r="AH16" s="8"/>
      <c r="AI16" s="8"/>
      <c r="AJ16" s="8"/>
      <c r="AK16" s="8"/>
      <c r="AL16" s="8"/>
      <c r="AM16" s="8"/>
      <c r="AN16" s="8"/>
      <c r="AO16" s="8"/>
      <c r="AP16" s="8"/>
      <c r="AQ16" s="8"/>
    </row>
    <row r="17" spans="1:43" x14ac:dyDescent="0.2">
      <c r="A17" s="2306"/>
      <c r="B17" s="2314"/>
      <c r="C17" s="2306"/>
      <c r="D17" s="2454"/>
      <c r="E17" s="2317"/>
      <c r="F17" s="2455"/>
      <c r="G17" s="2311"/>
      <c r="H17" s="2311"/>
      <c r="I17" s="2311"/>
      <c r="J17" s="2295"/>
      <c r="K17" s="2298"/>
      <c r="L17" s="2298"/>
      <c r="M17" s="44" t="s">
        <v>93</v>
      </c>
      <c r="N17" s="27"/>
      <c r="O17" s="27"/>
      <c r="P17" s="27"/>
      <c r="Q17" s="27"/>
      <c r="R17" s="27"/>
      <c r="S17" s="27"/>
      <c r="T17" s="2304"/>
      <c r="U17" s="27"/>
      <c r="V17" s="48"/>
      <c r="W17" s="48"/>
      <c r="X17" s="49"/>
      <c r="Y17" s="49"/>
      <c r="Z17" s="27"/>
      <c r="AA17" s="8"/>
      <c r="AB17" s="8"/>
      <c r="AC17" s="8"/>
      <c r="AD17" s="8"/>
      <c r="AE17" s="8"/>
      <c r="AF17" s="8"/>
      <c r="AG17" s="8"/>
      <c r="AH17" s="8"/>
      <c r="AI17" s="8"/>
      <c r="AJ17" s="8"/>
      <c r="AK17" s="8"/>
      <c r="AL17" s="8"/>
      <c r="AM17" s="8"/>
      <c r="AN17" s="8"/>
      <c r="AO17" s="8"/>
      <c r="AP17" s="8"/>
      <c r="AQ17" s="8"/>
    </row>
    <row r="18" spans="1:43" x14ac:dyDescent="0.2">
      <c r="A18" s="2306"/>
      <c r="B18" s="2315"/>
      <c r="C18" s="2306"/>
      <c r="D18" s="2454"/>
      <c r="E18" s="2318"/>
      <c r="F18" s="2180"/>
      <c r="G18" s="2312"/>
      <c r="H18" s="2312"/>
      <c r="I18" s="2312"/>
      <c r="J18" s="2296"/>
      <c r="K18" s="2299"/>
      <c r="L18" s="2299"/>
      <c r="M18" s="44" t="s">
        <v>94</v>
      </c>
      <c r="N18" s="50"/>
      <c r="O18" s="50"/>
      <c r="P18" s="97"/>
      <c r="Q18" s="97"/>
      <c r="R18" s="97"/>
      <c r="S18" s="97"/>
      <c r="T18" s="2305"/>
      <c r="U18" s="50"/>
      <c r="V18" s="49"/>
      <c r="W18" s="49"/>
      <c r="X18" s="49"/>
      <c r="Y18" s="8"/>
      <c r="Z18" s="27"/>
      <c r="AA18" s="8"/>
      <c r="AB18" s="8"/>
      <c r="AC18" s="8"/>
      <c r="AD18" s="8"/>
      <c r="AE18" s="8"/>
      <c r="AF18" s="8"/>
      <c r="AG18" s="8"/>
      <c r="AH18" s="8"/>
      <c r="AI18" s="8"/>
      <c r="AJ18" s="8"/>
      <c r="AK18" s="8"/>
      <c r="AL18" s="8"/>
      <c r="AM18" s="8"/>
      <c r="AN18" s="8"/>
      <c r="AO18" s="8"/>
      <c r="AP18" s="8"/>
      <c r="AQ18" s="8"/>
    </row>
    <row r="19" spans="1:43" ht="11.25" customHeight="1" x14ac:dyDescent="0.2">
      <c r="A19" s="2306">
        <v>1.2</v>
      </c>
      <c r="B19" s="2313" t="s">
        <v>554</v>
      </c>
      <c r="C19" s="2306" t="s">
        <v>11</v>
      </c>
      <c r="D19" s="2454">
        <v>2.5</v>
      </c>
      <c r="E19" s="2316" t="s">
        <v>969</v>
      </c>
      <c r="F19" s="2455">
        <v>500000</v>
      </c>
      <c r="G19" s="2310"/>
      <c r="H19" s="2310">
        <f t="shared" ref="H19" si="0">F19</f>
        <v>500000</v>
      </c>
      <c r="I19" s="2310"/>
      <c r="J19" s="2294"/>
      <c r="K19" s="2297" t="s">
        <v>90</v>
      </c>
      <c r="L19" s="2297" t="s">
        <v>91</v>
      </c>
      <c r="M19" s="44" t="s">
        <v>92</v>
      </c>
      <c r="N19" s="45">
        <v>44055</v>
      </c>
      <c r="O19" s="46">
        <f>N19+7</f>
        <v>44062</v>
      </c>
      <c r="P19" s="47">
        <f>O19+7</f>
        <v>44069</v>
      </c>
      <c r="Q19" s="47">
        <f>P19+30</f>
        <v>44099</v>
      </c>
      <c r="R19" s="47">
        <f>Q19+14</f>
        <v>44113</v>
      </c>
      <c r="S19" s="47">
        <f>R19+7</f>
        <v>44120</v>
      </c>
      <c r="T19" s="2303"/>
      <c r="U19" s="47">
        <f>S19+14</f>
        <v>44134</v>
      </c>
      <c r="V19" s="47">
        <f>U19+14</f>
        <v>44148</v>
      </c>
      <c r="W19" s="47">
        <f>V19+7</f>
        <v>44155</v>
      </c>
      <c r="X19" s="47">
        <f>W19+120</f>
        <v>44275</v>
      </c>
      <c r="Y19" s="47">
        <f>X19+365</f>
        <v>44640</v>
      </c>
      <c r="Z19" s="27"/>
      <c r="AA19" s="8"/>
      <c r="AB19" s="8"/>
      <c r="AC19" s="8"/>
      <c r="AD19" s="8"/>
      <c r="AE19" s="8"/>
      <c r="AF19" s="8"/>
      <c r="AG19" s="8"/>
      <c r="AH19" s="8"/>
      <c r="AI19" s="8"/>
      <c r="AJ19" s="8"/>
      <c r="AK19" s="8"/>
      <c r="AL19" s="8"/>
      <c r="AM19" s="8"/>
      <c r="AN19" s="8"/>
      <c r="AO19" s="8"/>
      <c r="AP19" s="8"/>
      <c r="AQ19" s="8"/>
    </row>
    <row r="20" spans="1:43" x14ac:dyDescent="0.2">
      <c r="A20" s="2306"/>
      <c r="B20" s="2314"/>
      <c r="C20" s="2306"/>
      <c r="D20" s="2454"/>
      <c r="E20" s="2317"/>
      <c r="F20" s="2455"/>
      <c r="G20" s="2311"/>
      <c r="H20" s="2311"/>
      <c r="I20" s="2311"/>
      <c r="J20" s="2295"/>
      <c r="K20" s="2298"/>
      <c r="L20" s="2298"/>
      <c r="M20" s="44" t="s">
        <v>93</v>
      </c>
      <c r="N20" s="27"/>
      <c r="O20" s="27"/>
      <c r="P20" s="27"/>
      <c r="Q20" s="27"/>
      <c r="R20" s="27"/>
      <c r="S20" s="27"/>
      <c r="T20" s="2304"/>
      <c r="U20" s="27"/>
      <c r="V20" s="48"/>
      <c r="W20" s="48"/>
      <c r="X20" s="49"/>
      <c r="Y20" s="49"/>
      <c r="Z20" s="27"/>
      <c r="AA20" s="8"/>
      <c r="AB20" s="8"/>
      <c r="AC20" s="8"/>
      <c r="AD20" s="8"/>
      <c r="AE20" s="8"/>
      <c r="AF20" s="8"/>
      <c r="AG20" s="8"/>
      <c r="AH20" s="8"/>
      <c r="AI20" s="8"/>
      <c r="AJ20" s="8"/>
      <c r="AK20" s="8"/>
      <c r="AL20" s="8"/>
      <c r="AM20" s="8"/>
      <c r="AN20" s="8"/>
      <c r="AO20" s="8"/>
      <c r="AP20" s="8"/>
      <c r="AQ20" s="8"/>
    </row>
    <row r="21" spans="1:43" x14ac:dyDescent="0.2">
      <c r="A21" s="2306"/>
      <c r="B21" s="2315"/>
      <c r="C21" s="2306"/>
      <c r="D21" s="2454"/>
      <c r="E21" s="2318"/>
      <c r="F21" s="2180"/>
      <c r="G21" s="2312"/>
      <c r="H21" s="2312"/>
      <c r="I21" s="2312"/>
      <c r="J21" s="2296"/>
      <c r="K21" s="2299"/>
      <c r="L21" s="2299"/>
      <c r="M21" s="44" t="s">
        <v>94</v>
      </c>
      <c r="N21" s="50"/>
      <c r="O21" s="50"/>
      <c r="P21" s="97"/>
      <c r="Q21" s="97"/>
      <c r="R21" s="97"/>
      <c r="S21" s="97"/>
      <c r="T21" s="2305"/>
      <c r="U21" s="50"/>
      <c r="V21" s="49"/>
      <c r="W21" s="49"/>
      <c r="X21" s="49"/>
      <c r="Y21" s="8"/>
      <c r="Z21" s="27"/>
      <c r="AA21" s="8"/>
      <c r="AB21" s="8"/>
      <c r="AC21" s="8"/>
      <c r="AD21" s="8"/>
      <c r="AE21" s="8"/>
      <c r="AF21" s="8"/>
      <c r="AG21" s="8"/>
      <c r="AH21" s="8"/>
      <c r="AI21" s="8"/>
      <c r="AJ21" s="8"/>
      <c r="AK21" s="8"/>
      <c r="AL21" s="8"/>
      <c r="AM21" s="8"/>
      <c r="AN21" s="8"/>
      <c r="AO21" s="8"/>
      <c r="AP21" s="8"/>
      <c r="AQ21" s="8"/>
    </row>
    <row r="22" spans="1:43" ht="11.25" customHeight="1" x14ac:dyDescent="0.2">
      <c r="A22" s="2306">
        <v>1.3</v>
      </c>
      <c r="B22" s="2313" t="s">
        <v>310</v>
      </c>
      <c r="C22" s="2306" t="s">
        <v>11</v>
      </c>
      <c r="D22" s="2454">
        <v>8</v>
      </c>
      <c r="E22" s="2316" t="s">
        <v>970</v>
      </c>
      <c r="F22" s="2455">
        <v>3802502.65</v>
      </c>
      <c r="G22" s="2310"/>
      <c r="H22" s="2310">
        <f t="shared" ref="H22" si="1">F22</f>
        <v>3802502.65</v>
      </c>
      <c r="I22" s="2310"/>
      <c r="J22" s="2294"/>
      <c r="K22" s="2297" t="s">
        <v>90</v>
      </c>
      <c r="L22" s="2297" t="s">
        <v>91</v>
      </c>
      <c r="M22" s="44" t="s">
        <v>92</v>
      </c>
      <c r="N22" s="45">
        <v>44055</v>
      </c>
      <c r="O22" s="46">
        <f>N22+7</f>
        <v>44062</v>
      </c>
      <c r="P22" s="47">
        <f>O22+7</f>
        <v>44069</v>
      </c>
      <c r="Q22" s="47">
        <f>P22+30</f>
        <v>44099</v>
      </c>
      <c r="R22" s="47">
        <f>Q22+14</f>
        <v>44113</v>
      </c>
      <c r="S22" s="47">
        <f>R22+7</f>
        <v>44120</v>
      </c>
      <c r="T22" s="2303"/>
      <c r="U22" s="47">
        <f>S22+14</f>
        <v>44134</v>
      </c>
      <c r="V22" s="47">
        <f>U22+14</f>
        <v>44148</v>
      </c>
      <c r="W22" s="47">
        <f>V22+7</f>
        <v>44155</v>
      </c>
      <c r="X22" s="47">
        <f>W22+120</f>
        <v>44275</v>
      </c>
      <c r="Y22" s="47">
        <f>X22+365</f>
        <v>44640</v>
      </c>
      <c r="Z22" s="27"/>
      <c r="AA22" s="8"/>
      <c r="AB22" s="8"/>
      <c r="AC22" s="8"/>
      <c r="AD22" s="8"/>
      <c r="AE22" s="8"/>
      <c r="AF22" s="8"/>
      <c r="AG22" s="8"/>
      <c r="AH22" s="8"/>
      <c r="AI22" s="8"/>
      <c r="AJ22" s="8"/>
      <c r="AK22" s="8"/>
      <c r="AL22" s="8"/>
      <c r="AM22" s="8"/>
      <c r="AN22" s="8"/>
      <c r="AO22" s="8"/>
      <c r="AP22" s="8"/>
      <c r="AQ22" s="8"/>
    </row>
    <row r="23" spans="1:43" x14ac:dyDescent="0.2">
      <c r="A23" s="2306"/>
      <c r="B23" s="2314"/>
      <c r="C23" s="2306"/>
      <c r="D23" s="2454"/>
      <c r="E23" s="2317"/>
      <c r="F23" s="2455"/>
      <c r="G23" s="2311"/>
      <c r="H23" s="2311"/>
      <c r="I23" s="2311"/>
      <c r="J23" s="2295"/>
      <c r="K23" s="2298"/>
      <c r="L23" s="2298"/>
      <c r="M23" s="44" t="s">
        <v>93</v>
      </c>
      <c r="N23" s="27"/>
      <c r="O23" s="27"/>
      <c r="P23" s="27"/>
      <c r="Q23" s="27"/>
      <c r="R23" s="27"/>
      <c r="S23" s="27"/>
      <c r="T23" s="2304"/>
      <c r="U23" s="27"/>
      <c r="V23" s="48"/>
      <c r="W23" s="48"/>
      <c r="X23" s="49"/>
      <c r="Y23" s="49"/>
      <c r="Z23" s="27"/>
      <c r="AA23" s="8"/>
      <c r="AB23" s="8"/>
      <c r="AC23" s="8"/>
      <c r="AD23" s="8"/>
      <c r="AE23" s="8"/>
      <c r="AF23" s="8"/>
      <c r="AG23" s="8"/>
      <c r="AH23" s="8"/>
      <c r="AI23" s="8"/>
      <c r="AJ23" s="8"/>
      <c r="AK23" s="8"/>
      <c r="AL23" s="8"/>
      <c r="AM23" s="8"/>
      <c r="AN23" s="8"/>
      <c r="AO23" s="8"/>
      <c r="AP23" s="8"/>
      <c r="AQ23" s="8"/>
    </row>
    <row r="24" spans="1:43" x14ac:dyDescent="0.2">
      <c r="A24" s="2306"/>
      <c r="B24" s="2315"/>
      <c r="C24" s="2306"/>
      <c r="D24" s="2454"/>
      <c r="E24" s="2318"/>
      <c r="F24" s="2180"/>
      <c r="G24" s="2312"/>
      <c r="H24" s="2312"/>
      <c r="I24" s="2312"/>
      <c r="J24" s="2296"/>
      <c r="K24" s="2299"/>
      <c r="L24" s="2299"/>
      <c r="M24" s="44" t="s">
        <v>94</v>
      </c>
      <c r="N24" s="50"/>
      <c r="O24" s="50"/>
      <c r="P24" s="97"/>
      <c r="Q24" s="97"/>
      <c r="R24" s="97"/>
      <c r="S24" s="97"/>
      <c r="T24" s="2305"/>
      <c r="U24" s="50"/>
      <c r="V24" s="49"/>
      <c r="W24" s="49"/>
      <c r="X24" s="49"/>
      <c r="Y24" s="8"/>
      <c r="Z24" s="27"/>
      <c r="AA24" s="8"/>
      <c r="AB24" s="8"/>
      <c r="AC24" s="8"/>
      <c r="AD24" s="8"/>
      <c r="AE24" s="8"/>
      <c r="AF24" s="8"/>
      <c r="AG24" s="8"/>
      <c r="AH24" s="8"/>
      <c r="AI24" s="8"/>
      <c r="AJ24" s="8"/>
      <c r="AK24" s="8"/>
      <c r="AL24" s="8"/>
      <c r="AM24" s="8"/>
      <c r="AN24" s="8"/>
      <c r="AO24" s="8"/>
      <c r="AP24" s="8"/>
      <c r="AQ24" s="8"/>
    </row>
    <row r="25" spans="1:43" ht="11.25" customHeight="1" x14ac:dyDescent="0.2">
      <c r="A25" s="2306">
        <v>1.4</v>
      </c>
      <c r="B25" s="2313" t="s">
        <v>403</v>
      </c>
      <c r="C25" s="2306" t="s">
        <v>3</v>
      </c>
      <c r="D25" s="2454">
        <v>1</v>
      </c>
      <c r="E25" s="2316" t="s">
        <v>976</v>
      </c>
      <c r="F25" s="2455">
        <v>500000</v>
      </c>
      <c r="G25" s="2310"/>
      <c r="H25" s="2310">
        <f t="shared" ref="H25" si="2">F25</f>
        <v>500000</v>
      </c>
      <c r="I25" s="2310"/>
      <c r="J25" s="2294"/>
      <c r="K25" s="2297" t="s">
        <v>90</v>
      </c>
      <c r="L25" s="2297" t="s">
        <v>91</v>
      </c>
      <c r="M25" s="44" t="s">
        <v>92</v>
      </c>
      <c r="N25" s="45">
        <v>44055</v>
      </c>
      <c r="O25" s="46">
        <f>N25+7</f>
        <v>44062</v>
      </c>
      <c r="P25" s="47">
        <f>O25+7</f>
        <v>44069</v>
      </c>
      <c r="Q25" s="47">
        <f>P25+30</f>
        <v>44099</v>
      </c>
      <c r="R25" s="47">
        <f>Q25+14</f>
        <v>44113</v>
      </c>
      <c r="S25" s="47">
        <f>R25+7</f>
        <v>44120</v>
      </c>
      <c r="T25" s="2303"/>
      <c r="U25" s="47">
        <f>S25+14</f>
        <v>44134</v>
      </c>
      <c r="V25" s="47">
        <f>U25+14</f>
        <v>44148</v>
      </c>
      <c r="W25" s="47">
        <f>V25+7</f>
        <v>44155</v>
      </c>
      <c r="X25" s="47">
        <f>W25+120</f>
        <v>44275</v>
      </c>
      <c r="Y25" s="47">
        <f>X25+365</f>
        <v>44640</v>
      </c>
      <c r="Z25" s="27"/>
      <c r="AA25" s="8"/>
      <c r="AB25" s="8"/>
      <c r="AC25" s="8"/>
      <c r="AD25" s="8"/>
      <c r="AE25" s="8"/>
      <c r="AF25" s="8"/>
      <c r="AG25" s="8"/>
      <c r="AH25" s="8"/>
      <c r="AI25" s="8"/>
      <c r="AJ25" s="8"/>
      <c r="AK25" s="8"/>
      <c r="AL25" s="8"/>
      <c r="AM25" s="8"/>
      <c r="AN25" s="8"/>
      <c r="AO25" s="8"/>
      <c r="AP25" s="8"/>
      <c r="AQ25" s="8"/>
    </row>
    <row r="26" spans="1:43" x14ac:dyDescent="0.2">
      <c r="A26" s="2306"/>
      <c r="B26" s="2314"/>
      <c r="C26" s="2306"/>
      <c r="D26" s="2454"/>
      <c r="E26" s="2317"/>
      <c r="F26" s="2455"/>
      <c r="G26" s="2311"/>
      <c r="H26" s="2311"/>
      <c r="I26" s="2311"/>
      <c r="J26" s="2295"/>
      <c r="K26" s="2298"/>
      <c r="L26" s="2298"/>
      <c r="M26" s="44" t="s">
        <v>93</v>
      </c>
      <c r="N26" s="27"/>
      <c r="O26" s="27"/>
      <c r="P26" s="27"/>
      <c r="Q26" s="27"/>
      <c r="R26" s="27"/>
      <c r="S26" s="27"/>
      <c r="T26" s="2304"/>
      <c r="U26" s="27"/>
      <c r="V26" s="48"/>
      <c r="W26" s="48"/>
      <c r="X26" s="49"/>
      <c r="Y26" s="49"/>
      <c r="Z26" s="27"/>
      <c r="AA26" s="8"/>
      <c r="AB26" s="8"/>
      <c r="AC26" s="8"/>
      <c r="AD26" s="8"/>
      <c r="AE26" s="8"/>
      <c r="AF26" s="8"/>
      <c r="AG26" s="8"/>
      <c r="AH26" s="8"/>
      <c r="AI26" s="8"/>
      <c r="AJ26" s="8"/>
      <c r="AK26" s="8"/>
      <c r="AL26" s="8"/>
      <c r="AM26" s="8"/>
      <c r="AN26" s="8"/>
      <c r="AO26" s="8"/>
      <c r="AP26" s="8"/>
      <c r="AQ26" s="8"/>
    </row>
    <row r="27" spans="1:43" x14ac:dyDescent="0.2">
      <c r="A27" s="2306"/>
      <c r="B27" s="2315"/>
      <c r="C27" s="2306"/>
      <c r="D27" s="2454"/>
      <c r="E27" s="2318"/>
      <c r="F27" s="2180"/>
      <c r="G27" s="2312"/>
      <c r="H27" s="2312"/>
      <c r="I27" s="2312"/>
      <c r="J27" s="2296"/>
      <c r="K27" s="2299"/>
      <c r="L27" s="2299"/>
      <c r="M27" s="44" t="s">
        <v>94</v>
      </c>
      <c r="N27" s="50"/>
      <c r="O27" s="50"/>
      <c r="P27" s="97"/>
      <c r="Q27" s="97"/>
      <c r="R27" s="97"/>
      <c r="S27" s="97"/>
      <c r="T27" s="2305"/>
      <c r="U27" s="50"/>
      <c r="V27" s="49"/>
      <c r="W27" s="49"/>
      <c r="X27" s="49"/>
      <c r="Y27" s="8"/>
      <c r="Z27" s="27"/>
      <c r="AA27" s="8"/>
      <c r="AB27" s="8"/>
      <c r="AC27" s="8"/>
      <c r="AD27" s="8"/>
      <c r="AE27" s="8"/>
      <c r="AF27" s="8"/>
      <c r="AG27" s="8"/>
      <c r="AH27" s="8"/>
      <c r="AI27" s="8"/>
      <c r="AJ27" s="8"/>
      <c r="AK27" s="8"/>
      <c r="AL27" s="8"/>
      <c r="AM27" s="8"/>
      <c r="AN27" s="8"/>
      <c r="AO27" s="8"/>
      <c r="AP27" s="8"/>
      <c r="AQ27" s="8"/>
    </row>
    <row r="28" spans="1:43" ht="11.25" customHeight="1" x14ac:dyDescent="0.2">
      <c r="A28" s="2306">
        <v>1.5</v>
      </c>
      <c r="B28" s="2313" t="s">
        <v>552</v>
      </c>
      <c r="C28" s="2306" t="s">
        <v>97</v>
      </c>
      <c r="D28" s="2454">
        <v>100</v>
      </c>
      <c r="E28" s="2316" t="s">
        <v>971</v>
      </c>
      <c r="F28" s="2455">
        <v>300000</v>
      </c>
      <c r="G28" s="2310"/>
      <c r="H28" s="2310">
        <f t="shared" ref="H28" si="3">F28</f>
        <v>300000</v>
      </c>
      <c r="I28" s="2310"/>
      <c r="J28" s="2294"/>
      <c r="K28" s="2297" t="s">
        <v>90</v>
      </c>
      <c r="L28" s="2297" t="s">
        <v>91</v>
      </c>
      <c r="M28" s="44" t="s">
        <v>92</v>
      </c>
      <c r="N28" s="45">
        <v>44055</v>
      </c>
      <c r="O28" s="46">
        <f>N28+7</f>
        <v>44062</v>
      </c>
      <c r="P28" s="47">
        <f>O28+7</f>
        <v>44069</v>
      </c>
      <c r="Q28" s="47">
        <f>P28+30</f>
        <v>44099</v>
      </c>
      <c r="R28" s="47">
        <f>Q28+14</f>
        <v>44113</v>
      </c>
      <c r="S28" s="47">
        <f>R28+7</f>
        <v>44120</v>
      </c>
      <c r="T28" s="2303"/>
      <c r="U28" s="47">
        <f>S28+14</f>
        <v>44134</v>
      </c>
      <c r="V28" s="47">
        <f>U28+14</f>
        <v>44148</v>
      </c>
      <c r="W28" s="47">
        <f>V28+7</f>
        <v>44155</v>
      </c>
      <c r="X28" s="47">
        <f>W28+120</f>
        <v>44275</v>
      </c>
      <c r="Y28" s="47">
        <f>X28+365</f>
        <v>44640</v>
      </c>
      <c r="Z28" s="27"/>
      <c r="AA28" s="8"/>
      <c r="AB28" s="8"/>
      <c r="AC28" s="8"/>
      <c r="AD28" s="8"/>
      <c r="AE28" s="8"/>
      <c r="AF28" s="8"/>
      <c r="AG28" s="8"/>
      <c r="AH28" s="8"/>
      <c r="AI28" s="8"/>
      <c r="AJ28" s="8"/>
      <c r="AK28" s="8"/>
      <c r="AL28" s="8"/>
      <c r="AM28" s="8"/>
      <c r="AN28" s="8"/>
      <c r="AO28" s="8"/>
      <c r="AP28" s="8"/>
      <c r="AQ28" s="8"/>
    </row>
    <row r="29" spans="1:43" x14ac:dyDescent="0.2">
      <c r="A29" s="2306"/>
      <c r="B29" s="2314"/>
      <c r="C29" s="2306"/>
      <c r="D29" s="2454"/>
      <c r="E29" s="2317"/>
      <c r="F29" s="2455"/>
      <c r="G29" s="2311"/>
      <c r="H29" s="2311"/>
      <c r="I29" s="2311"/>
      <c r="J29" s="2295"/>
      <c r="K29" s="2298"/>
      <c r="L29" s="2298"/>
      <c r="M29" s="44" t="s">
        <v>93</v>
      </c>
      <c r="N29" s="27"/>
      <c r="O29" s="27"/>
      <c r="P29" s="27"/>
      <c r="Q29" s="27"/>
      <c r="R29" s="27"/>
      <c r="S29" s="27"/>
      <c r="T29" s="2304"/>
      <c r="U29" s="27"/>
      <c r="V29" s="48"/>
      <c r="W29" s="48"/>
      <c r="X29" s="49"/>
      <c r="Y29" s="49"/>
      <c r="Z29" s="27"/>
      <c r="AA29" s="8"/>
      <c r="AB29" s="8"/>
      <c r="AC29" s="8"/>
      <c r="AD29" s="8"/>
      <c r="AE29" s="8"/>
      <c r="AF29" s="8"/>
      <c r="AG29" s="8"/>
      <c r="AH29" s="8"/>
      <c r="AI29" s="8"/>
      <c r="AJ29" s="8"/>
      <c r="AK29" s="8"/>
      <c r="AL29" s="8"/>
      <c r="AM29" s="8"/>
      <c r="AN29" s="8"/>
      <c r="AO29" s="8"/>
      <c r="AP29" s="8"/>
      <c r="AQ29" s="8"/>
    </row>
    <row r="30" spans="1:43" x14ac:dyDescent="0.2">
      <c r="A30" s="2306"/>
      <c r="B30" s="2315"/>
      <c r="C30" s="2306"/>
      <c r="D30" s="2454"/>
      <c r="E30" s="2318"/>
      <c r="F30" s="2180"/>
      <c r="G30" s="2312"/>
      <c r="H30" s="2312"/>
      <c r="I30" s="2312"/>
      <c r="J30" s="2296"/>
      <c r="K30" s="2299"/>
      <c r="L30" s="2299"/>
      <c r="M30" s="44" t="s">
        <v>94</v>
      </c>
      <c r="N30" s="50"/>
      <c r="O30" s="50"/>
      <c r="P30" s="97"/>
      <c r="Q30" s="97"/>
      <c r="R30" s="97"/>
      <c r="S30" s="97"/>
      <c r="T30" s="2305"/>
      <c r="U30" s="50"/>
      <c r="V30" s="49"/>
      <c r="W30" s="49"/>
      <c r="X30" s="49"/>
      <c r="Y30" s="8"/>
      <c r="Z30" s="27"/>
      <c r="AA30" s="8"/>
      <c r="AB30" s="8"/>
      <c r="AC30" s="8"/>
      <c r="AD30" s="8"/>
      <c r="AE30" s="8"/>
      <c r="AF30" s="8"/>
      <c r="AG30" s="8"/>
      <c r="AH30" s="8"/>
      <c r="AI30" s="8"/>
      <c r="AJ30" s="8"/>
      <c r="AK30" s="8"/>
      <c r="AL30" s="8"/>
      <c r="AM30" s="8"/>
      <c r="AN30" s="8"/>
      <c r="AO30" s="8"/>
      <c r="AP30" s="8"/>
      <c r="AQ30" s="8"/>
    </row>
    <row r="31" spans="1:43" ht="11.25" customHeight="1" x14ac:dyDescent="0.2">
      <c r="A31" s="2306">
        <v>1.6</v>
      </c>
      <c r="B31" s="2313" t="s">
        <v>311</v>
      </c>
      <c r="C31" s="2306" t="s">
        <v>3</v>
      </c>
      <c r="D31" s="2454">
        <v>3</v>
      </c>
      <c r="E31" s="2316" t="s">
        <v>972</v>
      </c>
      <c r="F31" s="2455">
        <v>1237550.55</v>
      </c>
      <c r="G31" s="2310"/>
      <c r="H31" s="2310">
        <f t="shared" ref="H31" si="4">F31</f>
        <v>1237550.55</v>
      </c>
      <c r="I31" s="2310"/>
      <c r="J31" s="2294"/>
      <c r="K31" s="2297" t="s">
        <v>90</v>
      </c>
      <c r="L31" s="2297" t="s">
        <v>91</v>
      </c>
      <c r="M31" s="44" t="s">
        <v>92</v>
      </c>
      <c r="N31" s="45">
        <v>44055</v>
      </c>
      <c r="O31" s="46">
        <f>N31+7</f>
        <v>44062</v>
      </c>
      <c r="P31" s="47">
        <f>O31+7</f>
        <v>44069</v>
      </c>
      <c r="Q31" s="47">
        <f>P31+30</f>
        <v>44099</v>
      </c>
      <c r="R31" s="47">
        <f>Q31+14</f>
        <v>44113</v>
      </c>
      <c r="S31" s="47">
        <f>R31+7</f>
        <v>44120</v>
      </c>
      <c r="T31" s="2303"/>
      <c r="U31" s="47">
        <f>S31+14</f>
        <v>44134</v>
      </c>
      <c r="V31" s="47">
        <f>U31+14</f>
        <v>44148</v>
      </c>
      <c r="W31" s="47">
        <f>V31+7</f>
        <v>44155</v>
      </c>
      <c r="X31" s="47">
        <f>W31+120</f>
        <v>44275</v>
      </c>
      <c r="Y31" s="47">
        <f>X31+365</f>
        <v>44640</v>
      </c>
      <c r="Z31" s="27"/>
      <c r="AA31" s="8"/>
      <c r="AB31" s="8"/>
      <c r="AC31" s="8"/>
      <c r="AD31" s="8"/>
      <c r="AE31" s="8"/>
      <c r="AF31" s="8"/>
      <c r="AG31" s="8"/>
      <c r="AH31" s="8"/>
      <c r="AI31" s="8"/>
      <c r="AJ31" s="8"/>
      <c r="AK31" s="8"/>
      <c r="AL31" s="8"/>
      <c r="AM31" s="8"/>
      <c r="AN31" s="8"/>
      <c r="AO31" s="8"/>
      <c r="AP31" s="8"/>
      <c r="AQ31" s="8"/>
    </row>
    <row r="32" spans="1:43" x14ac:dyDescent="0.2">
      <c r="A32" s="2306"/>
      <c r="B32" s="2314"/>
      <c r="C32" s="2306"/>
      <c r="D32" s="2454"/>
      <c r="E32" s="2317"/>
      <c r="F32" s="2455"/>
      <c r="G32" s="2311"/>
      <c r="H32" s="2311"/>
      <c r="I32" s="2311"/>
      <c r="J32" s="2295"/>
      <c r="K32" s="2298"/>
      <c r="L32" s="2298"/>
      <c r="M32" s="44" t="s">
        <v>93</v>
      </c>
      <c r="N32" s="27"/>
      <c r="O32" s="27"/>
      <c r="P32" s="27"/>
      <c r="Q32" s="27"/>
      <c r="R32" s="27"/>
      <c r="S32" s="27"/>
      <c r="T32" s="2304"/>
      <c r="U32" s="27"/>
      <c r="V32" s="48"/>
      <c r="W32" s="48"/>
      <c r="X32" s="49"/>
      <c r="Y32" s="49"/>
      <c r="Z32" s="27"/>
      <c r="AA32" s="8"/>
      <c r="AB32" s="8"/>
      <c r="AC32" s="8"/>
      <c r="AD32" s="8"/>
      <c r="AE32" s="8"/>
      <c r="AF32" s="8"/>
      <c r="AG32" s="8"/>
      <c r="AH32" s="8"/>
      <c r="AI32" s="8"/>
      <c r="AJ32" s="8"/>
      <c r="AK32" s="8"/>
      <c r="AL32" s="8"/>
      <c r="AM32" s="8"/>
      <c r="AN32" s="8"/>
      <c r="AO32" s="8"/>
      <c r="AP32" s="8"/>
      <c r="AQ32" s="8"/>
    </row>
    <row r="33" spans="1:43" x14ac:dyDescent="0.2">
      <c r="A33" s="2306"/>
      <c r="B33" s="2315"/>
      <c r="C33" s="2306"/>
      <c r="D33" s="2454"/>
      <c r="E33" s="2318"/>
      <c r="F33" s="2180"/>
      <c r="G33" s="2312"/>
      <c r="H33" s="2312"/>
      <c r="I33" s="2312"/>
      <c r="J33" s="2296"/>
      <c r="K33" s="2299"/>
      <c r="L33" s="2299"/>
      <c r="M33" s="44" t="s">
        <v>94</v>
      </c>
      <c r="N33" s="50"/>
      <c r="O33" s="50"/>
      <c r="P33" s="97"/>
      <c r="Q33" s="97"/>
      <c r="R33" s="97"/>
      <c r="S33" s="97"/>
      <c r="T33" s="2305"/>
      <c r="U33" s="50"/>
      <c r="V33" s="49"/>
      <c r="W33" s="49"/>
      <c r="X33" s="49"/>
      <c r="Y33" s="8"/>
      <c r="Z33" s="27"/>
      <c r="AA33" s="8"/>
      <c r="AB33" s="8"/>
      <c r="AC33" s="8"/>
      <c r="AD33" s="8"/>
      <c r="AE33" s="8"/>
      <c r="AF33" s="8"/>
      <c r="AG33" s="8"/>
      <c r="AH33" s="8"/>
      <c r="AI33" s="8"/>
      <c r="AJ33" s="8"/>
      <c r="AK33" s="8"/>
      <c r="AL33" s="8"/>
      <c r="AM33" s="8"/>
      <c r="AN33" s="8"/>
      <c r="AO33" s="8"/>
      <c r="AP33" s="8"/>
      <c r="AQ33" s="8"/>
    </row>
    <row r="34" spans="1:43" ht="11.25" customHeight="1" x14ac:dyDescent="0.2">
      <c r="A34" s="2306">
        <v>1.7</v>
      </c>
      <c r="B34" s="2313" t="s">
        <v>312</v>
      </c>
      <c r="C34" s="2306" t="s">
        <v>239</v>
      </c>
      <c r="D34" s="2454">
        <v>2501</v>
      </c>
      <c r="E34" s="2316" t="s">
        <v>973</v>
      </c>
      <c r="F34" s="2455">
        <f>3196941.35+150000</f>
        <v>3346941.35</v>
      </c>
      <c r="G34" s="2310"/>
      <c r="H34" s="2310">
        <f t="shared" ref="H34" si="5">F34</f>
        <v>3346941.35</v>
      </c>
      <c r="I34" s="2310"/>
      <c r="J34" s="2294"/>
      <c r="K34" s="2297" t="s">
        <v>297</v>
      </c>
      <c r="L34" s="2297" t="s">
        <v>91</v>
      </c>
      <c r="M34" s="44" t="s">
        <v>92</v>
      </c>
      <c r="N34" s="45">
        <v>43689</v>
      </c>
      <c r="O34" s="46">
        <f>N34+7</f>
        <v>43696</v>
      </c>
      <c r="P34" s="18" t="s">
        <v>104</v>
      </c>
      <c r="Q34" s="18" t="s">
        <v>104</v>
      </c>
      <c r="R34" s="18" t="s">
        <v>104</v>
      </c>
      <c r="S34" s="18" t="s">
        <v>104</v>
      </c>
      <c r="T34" s="2456"/>
      <c r="U34" s="18" t="s">
        <v>104</v>
      </c>
      <c r="V34" s="90" t="s">
        <v>104</v>
      </c>
      <c r="W34" s="47" t="s">
        <v>104</v>
      </c>
      <c r="X34" s="47">
        <v>44001</v>
      </c>
      <c r="Y34" s="47">
        <v>44366</v>
      </c>
      <c r="Z34" s="98"/>
      <c r="AA34" s="8"/>
      <c r="AB34" s="8"/>
      <c r="AC34" s="8"/>
      <c r="AD34" s="8"/>
      <c r="AE34" s="8"/>
      <c r="AF34" s="8"/>
      <c r="AG34" s="8"/>
      <c r="AH34" s="8"/>
      <c r="AI34" s="8"/>
      <c r="AJ34" s="8"/>
      <c r="AK34" s="8"/>
      <c r="AL34" s="8"/>
      <c r="AM34" s="8"/>
      <c r="AN34" s="8"/>
      <c r="AO34" s="8"/>
      <c r="AP34" s="8"/>
      <c r="AQ34" s="8"/>
    </row>
    <row r="35" spans="1:43" x14ac:dyDescent="0.2">
      <c r="A35" s="2306"/>
      <c r="B35" s="2314"/>
      <c r="C35" s="2306"/>
      <c r="D35" s="2454"/>
      <c r="E35" s="2317"/>
      <c r="F35" s="2455"/>
      <c r="G35" s="2311"/>
      <c r="H35" s="2311"/>
      <c r="I35" s="2311"/>
      <c r="J35" s="2295"/>
      <c r="K35" s="2298"/>
      <c r="L35" s="2298"/>
      <c r="M35" s="44" t="s">
        <v>93</v>
      </c>
      <c r="N35" s="23"/>
      <c r="O35" s="23"/>
      <c r="P35" s="23"/>
      <c r="Q35" s="23"/>
      <c r="R35" s="23"/>
      <c r="S35" s="96"/>
      <c r="T35" s="2456"/>
      <c r="U35" s="23"/>
      <c r="V35" s="92"/>
      <c r="W35" s="48"/>
      <c r="X35" s="94"/>
      <c r="Y35" s="94"/>
      <c r="Z35" s="98"/>
      <c r="AA35" s="8"/>
      <c r="AB35" s="8"/>
      <c r="AC35" s="8"/>
      <c r="AD35" s="8"/>
      <c r="AE35" s="8"/>
      <c r="AF35" s="8"/>
      <c r="AG35" s="8"/>
      <c r="AH35" s="8"/>
      <c r="AI35" s="8"/>
      <c r="AJ35" s="8"/>
      <c r="AK35" s="8"/>
      <c r="AL35" s="8"/>
      <c r="AM35" s="8"/>
      <c r="AN35" s="8"/>
      <c r="AO35" s="8"/>
      <c r="AP35" s="8"/>
      <c r="AQ35" s="8"/>
    </row>
    <row r="36" spans="1:43" x14ac:dyDescent="0.2">
      <c r="A36" s="2306"/>
      <c r="B36" s="2315"/>
      <c r="C36" s="2306"/>
      <c r="D36" s="2454"/>
      <c r="E36" s="2318"/>
      <c r="F36" s="2180"/>
      <c r="G36" s="2312"/>
      <c r="H36" s="2312"/>
      <c r="I36" s="2312"/>
      <c r="J36" s="2296"/>
      <c r="K36" s="2299"/>
      <c r="L36" s="2299"/>
      <c r="M36" s="44" t="s">
        <v>94</v>
      </c>
      <c r="N36" s="19"/>
      <c r="O36" s="19"/>
      <c r="P36" s="19"/>
      <c r="Q36" s="19"/>
      <c r="R36" s="19"/>
      <c r="S36" s="19"/>
      <c r="T36" s="2456"/>
      <c r="U36" s="91"/>
      <c r="V36" s="91"/>
      <c r="W36" s="93"/>
      <c r="X36" s="94"/>
      <c r="Y36" s="93"/>
      <c r="Z36" s="522"/>
      <c r="AA36" s="8"/>
      <c r="AB36" s="8"/>
      <c r="AC36" s="8"/>
      <c r="AD36" s="8"/>
      <c r="AE36" s="8"/>
      <c r="AF36" s="8"/>
      <c r="AG36" s="8"/>
      <c r="AH36" s="8"/>
      <c r="AI36" s="8"/>
      <c r="AJ36" s="8"/>
      <c r="AK36" s="8"/>
      <c r="AL36" s="8"/>
      <c r="AM36" s="8"/>
      <c r="AN36" s="8"/>
      <c r="AO36" s="8"/>
      <c r="AP36" s="8"/>
      <c r="AQ36" s="8"/>
    </row>
    <row r="37" spans="1:43" ht="11.25" customHeight="1" x14ac:dyDescent="0.2">
      <c r="A37" s="2306">
        <v>1.8</v>
      </c>
      <c r="B37" s="2313" t="s">
        <v>313</v>
      </c>
      <c r="C37" s="2306" t="s">
        <v>97</v>
      </c>
      <c r="D37" s="2454">
        <v>550</v>
      </c>
      <c r="E37" s="2316" t="s">
        <v>974</v>
      </c>
      <c r="F37" s="2455">
        <v>4035559.58</v>
      </c>
      <c r="G37" s="2310"/>
      <c r="H37" s="2310">
        <f t="shared" ref="H37" si="6">F37</f>
        <v>4035559.58</v>
      </c>
      <c r="I37" s="2310"/>
      <c r="J37" s="2294"/>
      <c r="K37" s="2297" t="s">
        <v>90</v>
      </c>
      <c r="L37" s="2297" t="s">
        <v>91</v>
      </c>
      <c r="M37" s="44" t="s">
        <v>92</v>
      </c>
      <c r="N37" s="45">
        <v>44055</v>
      </c>
      <c r="O37" s="46">
        <f>N37+7</f>
        <v>44062</v>
      </c>
      <c r="P37" s="47">
        <f>O37+7</f>
        <v>44069</v>
      </c>
      <c r="Q37" s="47">
        <f>P37+30</f>
        <v>44099</v>
      </c>
      <c r="R37" s="47">
        <f>Q37+14</f>
        <v>44113</v>
      </c>
      <c r="S37" s="47">
        <f>R37+7</f>
        <v>44120</v>
      </c>
      <c r="T37" s="2303"/>
      <c r="U37" s="47">
        <f>S37+14</f>
        <v>44134</v>
      </c>
      <c r="V37" s="47">
        <f>U37+14</f>
        <v>44148</v>
      </c>
      <c r="W37" s="47">
        <f>V37+7</f>
        <v>44155</v>
      </c>
      <c r="X37" s="47">
        <f>W37+120</f>
        <v>44275</v>
      </c>
      <c r="Y37" s="47">
        <f>X37+365</f>
        <v>44640</v>
      </c>
      <c r="Z37" s="27"/>
      <c r="AA37" s="8"/>
      <c r="AB37" s="8"/>
      <c r="AC37" s="8"/>
      <c r="AD37" s="8"/>
      <c r="AE37" s="8"/>
      <c r="AF37" s="8"/>
      <c r="AG37" s="8"/>
      <c r="AH37" s="8"/>
      <c r="AI37" s="8"/>
      <c r="AJ37" s="8"/>
      <c r="AK37" s="8"/>
      <c r="AL37" s="8"/>
      <c r="AM37" s="8"/>
      <c r="AN37" s="8"/>
      <c r="AO37" s="8"/>
      <c r="AP37" s="8"/>
      <c r="AQ37" s="8"/>
    </row>
    <row r="38" spans="1:43" x14ac:dyDescent="0.2">
      <c r="A38" s="2306"/>
      <c r="B38" s="2314"/>
      <c r="C38" s="2306"/>
      <c r="D38" s="2454"/>
      <c r="E38" s="2317"/>
      <c r="F38" s="2455"/>
      <c r="G38" s="2311"/>
      <c r="H38" s="2311"/>
      <c r="I38" s="2311"/>
      <c r="J38" s="2295"/>
      <c r="K38" s="2298"/>
      <c r="L38" s="2298"/>
      <c r="M38" s="44" t="s">
        <v>93</v>
      </c>
      <c r="N38" s="27"/>
      <c r="O38" s="27"/>
      <c r="P38" s="27"/>
      <c r="Q38" s="27"/>
      <c r="R38" s="27"/>
      <c r="S38" s="27"/>
      <c r="T38" s="2304"/>
      <c r="U38" s="27"/>
      <c r="V38" s="48"/>
      <c r="W38" s="48"/>
      <c r="X38" s="49"/>
      <c r="Y38" s="49"/>
      <c r="Z38" s="27"/>
      <c r="AA38" s="8"/>
      <c r="AB38" s="8"/>
      <c r="AC38" s="8"/>
      <c r="AD38" s="8"/>
      <c r="AE38" s="8"/>
      <c r="AF38" s="8"/>
      <c r="AG38" s="8"/>
      <c r="AH38" s="8"/>
      <c r="AI38" s="8"/>
      <c r="AJ38" s="8"/>
      <c r="AK38" s="8"/>
      <c r="AL38" s="8"/>
      <c r="AM38" s="8"/>
      <c r="AN38" s="8"/>
      <c r="AO38" s="8"/>
      <c r="AP38" s="8"/>
      <c r="AQ38" s="8"/>
    </row>
    <row r="39" spans="1:43" x14ac:dyDescent="0.2">
      <c r="A39" s="2306"/>
      <c r="B39" s="2315"/>
      <c r="C39" s="2306"/>
      <c r="D39" s="2454"/>
      <c r="E39" s="2318"/>
      <c r="F39" s="2180"/>
      <c r="G39" s="2312"/>
      <c r="H39" s="2312"/>
      <c r="I39" s="2312"/>
      <c r="J39" s="2296"/>
      <c r="K39" s="2299"/>
      <c r="L39" s="2299"/>
      <c r="M39" s="44" t="s">
        <v>94</v>
      </c>
      <c r="N39" s="50"/>
      <c r="O39" s="50"/>
      <c r="P39" s="97"/>
      <c r="Q39" s="97"/>
      <c r="R39" s="97"/>
      <c r="S39" s="97"/>
      <c r="T39" s="2305"/>
      <c r="U39" s="50"/>
      <c r="V39" s="49"/>
      <c r="W39" s="49"/>
      <c r="X39" s="49"/>
      <c r="Y39" s="8"/>
      <c r="Z39" s="27"/>
      <c r="AA39" s="8"/>
      <c r="AB39" s="8"/>
      <c r="AC39" s="8"/>
      <c r="AD39" s="8"/>
      <c r="AE39" s="8"/>
      <c r="AF39" s="8"/>
      <c r="AG39" s="8"/>
      <c r="AH39" s="8"/>
      <c r="AI39" s="8"/>
      <c r="AJ39" s="8"/>
      <c r="AK39" s="8"/>
      <c r="AL39" s="8"/>
      <c r="AM39" s="8"/>
      <c r="AN39" s="8"/>
      <c r="AO39" s="8"/>
      <c r="AP39" s="8"/>
      <c r="AQ39" s="8"/>
    </row>
    <row r="40" spans="1:43" s="89" customFormat="1" x14ac:dyDescent="0.2">
      <c r="A40" s="2306">
        <v>1.9</v>
      </c>
      <c r="B40" s="2313" t="s">
        <v>417</v>
      </c>
      <c r="C40" s="2306" t="s">
        <v>239</v>
      </c>
      <c r="D40" s="2454">
        <v>420</v>
      </c>
      <c r="E40" s="2316" t="s">
        <v>975</v>
      </c>
      <c r="F40" s="2455">
        <v>4462589.4400000004</v>
      </c>
      <c r="G40" s="2310"/>
      <c r="H40" s="2310">
        <f t="shared" ref="H40" si="7">F40</f>
        <v>4462589.4400000004</v>
      </c>
      <c r="I40" s="2310"/>
      <c r="J40" s="2294"/>
      <c r="K40" s="2297" t="s">
        <v>297</v>
      </c>
      <c r="L40" s="2297" t="s">
        <v>91</v>
      </c>
      <c r="M40" s="44" t="s">
        <v>92</v>
      </c>
      <c r="N40" s="45">
        <v>43689</v>
      </c>
      <c r="O40" s="46">
        <f>N40+7</f>
        <v>43696</v>
      </c>
      <c r="P40" s="18" t="s">
        <v>104</v>
      </c>
      <c r="Q40" s="18" t="s">
        <v>104</v>
      </c>
      <c r="R40" s="18" t="s">
        <v>104</v>
      </c>
      <c r="S40" s="18" t="s">
        <v>104</v>
      </c>
      <c r="T40" s="2456"/>
      <c r="U40" s="18" t="s">
        <v>104</v>
      </c>
      <c r="V40" s="90" t="s">
        <v>104</v>
      </c>
      <c r="W40" s="47" t="s">
        <v>104</v>
      </c>
      <c r="X40" s="47">
        <v>44001</v>
      </c>
      <c r="Y40" s="47">
        <v>44366</v>
      </c>
      <c r="Z40" s="98"/>
    </row>
    <row r="41" spans="1:43" x14ac:dyDescent="0.2">
      <c r="A41" s="2306"/>
      <c r="B41" s="2314"/>
      <c r="C41" s="2306"/>
      <c r="D41" s="2454"/>
      <c r="E41" s="2317"/>
      <c r="F41" s="2455"/>
      <c r="G41" s="2311"/>
      <c r="H41" s="2311"/>
      <c r="I41" s="2311"/>
      <c r="J41" s="2295"/>
      <c r="K41" s="2298"/>
      <c r="L41" s="2298"/>
      <c r="M41" s="44" t="s">
        <v>93</v>
      </c>
      <c r="N41" s="23"/>
      <c r="O41" s="23"/>
      <c r="P41" s="23"/>
      <c r="Q41" s="23"/>
      <c r="R41" s="23"/>
      <c r="S41" s="96"/>
      <c r="T41" s="2456"/>
      <c r="U41" s="23"/>
      <c r="V41" s="92"/>
      <c r="W41" s="48"/>
      <c r="X41" s="94"/>
      <c r="Y41" s="94"/>
      <c r="Z41" s="98"/>
    </row>
    <row r="42" spans="1:43" x14ac:dyDescent="0.2">
      <c r="A42" s="2306"/>
      <c r="B42" s="2315"/>
      <c r="C42" s="2306"/>
      <c r="D42" s="2454"/>
      <c r="E42" s="2318"/>
      <c r="F42" s="2180"/>
      <c r="G42" s="2312"/>
      <c r="H42" s="2312"/>
      <c r="I42" s="2312"/>
      <c r="J42" s="2296"/>
      <c r="K42" s="2299"/>
      <c r="L42" s="2299"/>
      <c r="M42" s="44" t="s">
        <v>94</v>
      </c>
      <c r="N42" s="19"/>
      <c r="O42" s="19"/>
      <c r="P42" s="19"/>
      <c r="Q42" s="19"/>
      <c r="R42" s="19"/>
      <c r="S42" s="19"/>
      <c r="T42" s="2456"/>
      <c r="U42" s="91"/>
      <c r="V42" s="91"/>
      <c r="W42" s="93"/>
      <c r="X42" s="94"/>
      <c r="Y42" s="93"/>
      <c r="Z42" s="522"/>
    </row>
    <row r="43" spans="1:43" x14ac:dyDescent="0.2">
      <c r="A43" s="2457">
        <v>1.1000000000000001</v>
      </c>
      <c r="B43" s="2313" t="s">
        <v>553</v>
      </c>
      <c r="C43" s="2306" t="s">
        <v>3</v>
      </c>
      <c r="D43" s="2454">
        <v>12</v>
      </c>
      <c r="E43" s="2316" t="s">
        <v>977</v>
      </c>
      <c r="F43" s="2455">
        <v>1500000</v>
      </c>
      <c r="G43" s="2310"/>
      <c r="H43" s="2310">
        <f t="shared" ref="H43" si="8">F43</f>
        <v>1500000</v>
      </c>
      <c r="I43" s="2310"/>
      <c r="J43" s="2294"/>
      <c r="K43" s="2297" t="s">
        <v>90</v>
      </c>
      <c r="L43" s="2297" t="s">
        <v>91</v>
      </c>
      <c r="M43" s="44" t="s">
        <v>92</v>
      </c>
      <c r="N43" s="45">
        <v>43689</v>
      </c>
      <c r="O43" s="46">
        <f>N43+7</f>
        <v>43696</v>
      </c>
      <c r="P43" s="18" t="s">
        <v>104</v>
      </c>
      <c r="Q43" s="18" t="s">
        <v>104</v>
      </c>
      <c r="R43" s="18" t="s">
        <v>104</v>
      </c>
      <c r="S43" s="18" t="s">
        <v>104</v>
      </c>
      <c r="T43" s="2456"/>
      <c r="U43" s="18" t="s">
        <v>104</v>
      </c>
      <c r="V43" s="90" t="s">
        <v>104</v>
      </c>
      <c r="W43" s="47" t="s">
        <v>104</v>
      </c>
      <c r="X43" s="47">
        <v>44001</v>
      </c>
      <c r="Y43" s="47">
        <v>44366</v>
      </c>
      <c r="Z43" s="98"/>
    </row>
    <row r="44" spans="1:43" x14ac:dyDescent="0.2">
      <c r="A44" s="2457"/>
      <c r="B44" s="2314"/>
      <c r="C44" s="2306"/>
      <c r="D44" s="2454"/>
      <c r="E44" s="2317"/>
      <c r="F44" s="2455"/>
      <c r="G44" s="2311"/>
      <c r="H44" s="2311"/>
      <c r="I44" s="2311"/>
      <c r="J44" s="2295"/>
      <c r="K44" s="2298"/>
      <c r="L44" s="2298"/>
      <c r="M44" s="44" t="s">
        <v>93</v>
      </c>
      <c r="N44" s="23"/>
      <c r="O44" s="23"/>
      <c r="P44" s="23"/>
      <c r="Q44" s="23"/>
      <c r="R44" s="23"/>
      <c r="S44" s="96"/>
      <c r="T44" s="2456"/>
      <c r="U44" s="23"/>
      <c r="V44" s="92"/>
      <c r="W44" s="48"/>
      <c r="X44" s="94"/>
      <c r="Y44" s="94"/>
      <c r="Z44" s="98"/>
    </row>
    <row r="45" spans="1:43" x14ac:dyDescent="0.2">
      <c r="A45" s="2457"/>
      <c r="B45" s="2315"/>
      <c r="C45" s="2306"/>
      <c r="D45" s="2454"/>
      <c r="E45" s="2318"/>
      <c r="F45" s="2180"/>
      <c r="G45" s="2312"/>
      <c r="H45" s="2312"/>
      <c r="I45" s="2312"/>
      <c r="J45" s="2296"/>
      <c r="K45" s="2299"/>
      <c r="L45" s="2299"/>
      <c r="M45" s="44" t="s">
        <v>94</v>
      </c>
      <c r="N45" s="19"/>
      <c r="O45" s="19"/>
      <c r="P45" s="19"/>
      <c r="Q45" s="19"/>
      <c r="R45" s="19"/>
      <c r="S45" s="19"/>
      <c r="T45" s="2456"/>
      <c r="U45" s="91"/>
      <c r="V45" s="91"/>
      <c r="W45" s="93"/>
      <c r="X45" s="94"/>
      <c r="Y45" s="93"/>
      <c r="Z45" s="522"/>
    </row>
    <row r="46" spans="1:43" x14ac:dyDescent="0.2">
      <c r="A46" s="84"/>
      <c r="B46" s="85"/>
      <c r="C46" s="85"/>
      <c r="D46" s="710"/>
      <c r="E46" s="85"/>
      <c r="F46" s="87">
        <f>SUM(F16:F45)</f>
        <v>20185143.57</v>
      </c>
      <c r="G46" s="87">
        <f>SUM(G16:G42)</f>
        <v>0</v>
      </c>
      <c r="H46" s="87">
        <f>SUM(H16:H45)</f>
        <v>20185143.57</v>
      </c>
      <c r="I46" s="87"/>
      <c r="J46" s="87">
        <f>J16</f>
        <v>0</v>
      </c>
      <c r="K46" s="87"/>
      <c r="L46" s="87"/>
      <c r="M46" s="87"/>
      <c r="N46" s="87"/>
      <c r="O46" s="87"/>
      <c r="P46" s="87"/>
      <c r="Q46" s="87"/>
      <c r="R46" s="87"/>
      <c r="S46" s="87"/>
      <c r="T46" s="87"/>
      <c r="U46" s="87"/>
      <c r="V46" s="88"/>
      <c r="W46" s="88"/>
      <c r="X46" s="88"/>
      <c r="Y46" s="88"/>
      <c r="Z46" s="87"/>
    </row>
    <row r="48" spans="1:43" ht="14.4" x14ac:dyDescent="0.3">
      <c r="E48" s="166"/>
      <c r="F48" s="166"/>
      <c r="G48" s="166"/>
      <c r="H48" s="166"/>
    </row>
    <row r="49" spans="7:8" x14ac:dyDescent="0.2">
      <c r="G49" s="102"/>
    </row>
    <row r="50" spans="7:8" x14ac:dyDescent="0.2">
      <c r="H50" s="102"/>
    </row>
  </sheetData>
  <mergeCells count="159">
    <mergeCell ref="J43:J45"/>
    <mergeCell ref="K43:K45"/>
    <mergeCell ref="L43:L45"/>
    <mergeCell ref="T43:T45"/>
    <mergeCell ref="A43:A45"/>
    <mergeCell ref="B43:B45"/>
    <mergeCell ref="C43:C45"/>
    <mergeCell ref="D43:D45"/>
    <mergeCell ref="E43:E45"/>
    <mergeCell ref="F43:F45"/>
    <mergeCell ref="G43:G45"/>
    <mergeCell ref="H43:H45"/>
    <mergeCell ref="I43:I45"/>
    <mergeCell ref="A28:A30"/>
    <mergeCell ref="B28:B30"/>
    <mergeCell ref="C28:C30"/>
    <mergeCell ref="D28:D30"/>
    <mergeCell ref="E28:E30"/>
    <mergeCell ref="F28:F30"/>
    <mergeCell ref="G28:G30"/>
    <mergeCell ref="H28:H30"/>
    <mergeCell ref="I28:I30"/>
    <mergeCell ref="F25:F27"/>
    <mergeCell ref="G25:G27"/>
    <mergeCell ref="H25:H27"/>
    <mergeCell ref="I25:I27"/>
    <mergeCell ref="J25:J27"/>
    <mergeCell ref="K25:K27"/>
    <mergeCell ref="A25:A27"/>
    <mergeCell ref="B25:B27"/>
    <mergeCell ref="C25:C27"/>
    <mergeCell ref="D25:D27"/>
    <mergeCell ref="E25:E27"/>
    <mergeCell ref="J40:J42"/>
    <mergeCell ref="K40:K42"/>
    <mergeCell ref="L40:L42"/>
    <mergeCell ref="T40:T42"/>
    <mergeCell ref="L37:L39"/>
    <mergeCell ref="T37:T39"/>
    <mergeCell ref="A40:A42"/>
    <mergeCell ref="B40:B42"/>
    <mergeCell ref="C40:C42"/>
    <mergeCell ref="D40:D42"/>
    <mergeCell ref="E40:E42"/>
    <mergeCell ref="F40:F42"/>
    <mergeCell ref="G40:G42"/>
    <mergeCell ref="F37:F39"/>
    <mergeCell ref="G37:G39"/>
    <mergeCell ref="H37:H39"/>
    <mergeCell ref="I37:I39"/>
    <mergeCell ref="J37:J39"/>
    <mergeCell ref="K37:K39"/>
    <mergeCell ref="A37:A39"/>
    <mergeCell ref="B37:B39"/>
    <mergeCell ref="C37:C39"/>
    <mergeCell ref="A34:A36"/>
    <mergeCell ref="B34:B36"/>
    <mergeCell ref="C34:C36"/>
    <mergeCell ref="D34:D36"/>
    <mergeCell ref="E34:E36"/>
    <mergeCell ref="F34:F36"/>
    <mergeCell ref="G34:G36"/>
    <mergeCell ref="H40:H42"/>
    <mergeCell ref="I40:I42"/>
    <mergeCell ref="L28:L30"/>
    <mergeCell ref="T28:T30"/>
    <mergeCell ref="D37:D39"/>
    <mergeCell ref="E37:E39"/>
    <mergeCell ref="H34:H36"/>
    <mergeCell ref="I34:I36"/>
    <mergeCell ref="J34:J36"/>
    <mergeCell ref="K34:K36"/>
    <mergeCell ref="L34:L36"/>
    <mergeCell ref="T34:T36"/>
    <mergeCell ref="A31:A33"/>
    <mergeCell ref="B31:B33"/>
    <mergeCell ref="C31:C33"/>
    <mergeCell ref="D31:D33"/>
    <mergeCell ref="E31:E33"/>
    <mergeCell ref="T22:T24"/>
    <mergeCell ref="G22:G24"/>
    <mergeCell ref="H22:H24"/>
    <mergeCell ref="I22:I24"/>
    <mergeCell ref="J22:J24"/>
    <mergeCell ref="K22:K24"/>
    <mergeCell ref="L22:L24"/>
    <mergeCell ref="K31:K33"/>
    <mergeCell ref="L31:L33"/>
    <mergeCell ref="T31:T33"/>
    <mergeCell ref="F31:F33"/>
    <mergeCell ref="G31:G33"/>
    <mergeCell ref="H31:H33"/>
    <mergeCell ref="I31:I33"/>
    <mergeCell ref="J31:J33"/>
    <mergeCell ref="L25:L27"/>
    <mergeCell ref="T25:T27"/>
    <mergeCell ref="J28:J30"/>
    <mergeCell ref="K28:K30"/>
    <mergeCell ref="G16:G18"/>
    <mergeCell ref="H16:H18"/>
    <mergeCell ref="I16:I18"/>
    <mergeCell ref="A22:A24"/>
    <mergeCell ref="B22:B24"/>
    <mergeCell ref="C22:C24"/>
    <mergeCell ref="D22:D24"/>
    <mergeCell ref="E22:E24"/>
    <mergeCell ref="F22:F24"/>
    <mergeCell ref="F19:F21"/>
    <mergeCell ref="G19:G21"/>
    <mergeCell ref="H19:H21"/>
    <mergeCell ref="A8:B8"/>
    <mergeCell ref="C8:I8"/>
    <mergeCell ref="J8:L8"/>
    <mergeCell ref="A5:B5"/>
    <mergeCell ref="J16:J18"/>
    <mergeCell ref="K16:K18"/>
    <mergeCell ref="L16:L18"/>
    <mergeCell ref="T16:T18"/>
    <mergeCell ref="A19:A21"/>
    <mergeCell ref="B19:B21"/>
    <mergeCell ref="C19:C21"/>
    <mergeCell ref="D19:D21"/>
    <mergeCell ref="E19:E21"/>
    <mergeCell ref="K19:K21"/>
    <mergeCell ref="L19:L21"/>
    <mergeCell ref="T19:T21"/>
    <mergeCell ref="I19:I21"/>
    <mergeCell ref="J19:J21"/>
    <mergeCell ref="A16:A18"/>
    <mergeCell ref="B16:B18"/>
    <mergeCell ref="C16:C18"/>
    <mergeCell ref="D16:D18"/>
    <mergeCell ref="E16:E18"/>
    <mergeCell ref="F16:F18"/>
    <mergeCell ref="Y9:Z9"/>
    <mergeCell ref="A10:A11"/>
    <mergeCell ref="B10:B11"/>
    <mergeCell ref="C10:D10"/>
    <mergeCell ref="E10:L10"/>
    <mergeCell ref="N10:O10"/>
    <mergeCell ref="P10:Q10"/>
    <mergeCell ref="R10:S10"/>
    <mergeCell ref="T10:V10"/>
    <mergeCell ref="W10:Z10"/>
    <mergeCell ref="G11:J11"/>
    <mergeCell ref="A9:B9"/>
    <mergeCell ref="C9:F9"/>
    <mergeCell ref="G9:S9"/>
    <mergeCell ref="C5:L5"/>
    <mergeCell ref="A6:B6"/>
    <mergeCell ref="C6:L6"/>
    <mergeCell ref="A7:B7"/>
    <mergeCell ref="C7:L7"/>
    <mergeCell ref="A2:B2"/>
    <mergeCell ref="C2:L2"/>
    <mergeCell ref="A3:B3"/>
    <mergeCell ref="C3:L3"/>
    <mergeCell ref="A4:B4"/>
    <mergeCell ref="C4:L4"/>
  </mergeCells>
  <pageMargins left="0.7" right="0.7" top="0.75" bottom="0.75" header="0.3" footer="0.3"/>
  <pageSetup scale="43" orientation="landscape" r:id="rId1"/>
  <colBreaks count="1" manualBreakCount="1">
    <brk id="2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H13"/>
  <sheetViews>
    <sheetView topLeftCell="A4" workbookViewId="0">
      <selection activeCell="K17" sqref="K17"/>
    </sheetView>
  </sheetViews>
  <sheetFormatPr defaultRowHeight="15" customHeight="1" x14ac:dyDescent="0.3"/>
  <cols>
    <col min="5" max="5" width="21.44140625" bestFit="1" customWidth="1"/>
    <col min="6" max="6" width="50.33203125" customWidth="1"/>
    <col min="7" max="7" width="10.109375" customWidth="1"/>
    <col min="8" max="8" width="10.88671875" customWidth="1"/>
  </cols>
  <sheetData>
    <row r="5" spans="4:8" ht="15" customHeight="1" thickBot="1" x14ac:dyDescent="0.35">
      <c r="D5" s="1461" t="s">
        <v>818</v>
      </c>
    </row>
    <row r="6" spans="4:8" ht="15" customHeight="1" thickBot="1" x14ac:dyDescent="0.35">
      <c r="D6" s="2458" t="s">
        <v>0</v>
      </c>
      <c r="E6" s="2458" t="s">
        <v>809</v>
      </c>
      <c r="F6" s="2458" t="s">
        <v>810</v>
      </c>
      <c r="G6" s="2460" t="s">
        <v>811</v>
      </c>
      <c r="H6" s="2461"/>
    </row>
    <row r="7" spans="4:8" ht="15" customHeight="1" thickBot="1" x14ac:dyDescent="0.35">
      <c r="D7" s="2459"/>
      <c r="E7" s="2459"/>
      <c r="F7" s="2459"/>
      <c r="G7" s="1462" t="s">
        <v>812</v>
      </c>
      <c r="H7" s="1462" t="s">
        <v>813</v>
      </c>
    </row>
    <row r="8" spans="4:8" ht="15" customHeight="1" thickBot="1" x14ac:dyDescent="0.35">
      <c r="D8" s="1463">
        <v>1</v>
      </c>
      <c r="E8" s="1464" t="s">
        <v>618</v>
      </c>
      <c r="F8" s="1124" t="s">
        <v>814</v>
      </c>
      <c r="G8" s="1124">
        <v>6</v>
      </c>
      <c r="H8" s="1124">
        <v>5</v>
      </c>
    </row>
    <row r="9" spans="4:8" ht="28.2" thickBot="1" x14ac:dyDescent="0.35">
      <c r="D9" s="1463">
        <v>2</v>
      </c>
      <c r="E9" s="1464" t="s">
        <v>619</v>
      </c>
      <c r="F9" s="1124" t="s">
        <v>815</v>
      </c>
      <c r="G9" s="1124">
        <v>25</v>
      </c>
      <c r="H9" s="1124">
        <v>19</v>
      </c>
    </row>
    <row r="10" spans="4:8" ht="16.2" thickBot="1" x14ac:dyDescent="0.35">
      <c r="D10" s="1463">
        <v>3</v>
      </c>
      <c r="E10" s="1464" t="s">
        <v>164</v>
      </c>
      <c r="F10" s="1124" t="s">
        <v>814</v>
      </c>
      <c r="G10" s="1124">
        <v>9</v>
      </c>
      <c r="H10" s="1124">
        <v>4</v>
      </c>
    </row>
    <row r="11" spans="4:8" ht="16.2" thickBot="1" x14ac:dyDescent="0.35">
      <c r="D11" s="2462">
        <v>4</v>
      </c>
      <c r="E11" s="2464" t="s">
        <v>816</v>
      </c>
      <c r="F11" s="1124" t="s">
        <v>814</v>
      </c>
      <c r="G11" s="1124">
        <v>3</v>
      </c>
      <c r="H11" s="1124">
        <v>2</v>
      </c>
    </row>
    <row r="12" spans="4:8" ht="16.2" thickBot="1" x14ac:dyDescent="0.35">
      <c r="D12" s="2463"/>
      <c r="E12" s="2465"/>
      <c r="F12" s="1124" t="s">
        <v>817</v>
      </c>
      <c r="G12" s="1124">
        <v>160</v>
      </c>
      <c r="H12" s="1124">
        <v>57</v>
      </c>
    </row>
    <row r="13" spans="4:8" ht="15" customHeight="1" thickBot="1" x14ac:dyDescent="0.35">
      <c r="D13" s="1465"/>
      <c r="E13" s="1466" t="s">
        <v>8</v>
      </c>
      <c r="F13" s="1467"/>
      <c r="G13" s="1467">
        <f>G8+G9+G10+G11+G12</f>
        <v>203</v>
      </c>
      <c r="H13" s="1467">
        <f>H8+H9+H10+H11+H12</f>
        <v>87</v>
      </c>
    </row>
  </sheetData>
  <mergeCells count="6">
    <mergeCell ref="D6:D7"/>
    <mergeCell ref="E6:E7"/>
    <mergeCell ref="F6:F7"/>
    <mergeCell ref="G6:H6"/>
    <mergeCell ref="D11:D12"/>
    <mergeCell ref="E11:E1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9"/>
  <sheetViews>
    <sheetView workbookViewId="0">
      <pane xSplit="11" ySplit="4" topLeftCell="L140" activePane="bottomRight" state="frozenSplit"/>
      <selection pane="topRight" activeCell="N1" sqref="N1"/>
      <selection pane="bottomLeft" activeCell="A8" sqref="A8"/>
      <selection pane="bottomRight" activeCell="F133" sqref="F133:K133"/>
    </sheetView>
  </sheetViews>
  <sheetFormatPr defaultColWidth="9.109375" defaultRowHeight="13.8" x14ac:dyDescent="0.3"/>
  <cols>
    <col min="1" max="1" width="9.109375" style="289"/>
    <col min="2" max="2" width="5.5546875" style="289" customWidth="1"/>
    <col min="3" max="3" width="45.44140625" style="289" customWidth="1"/>
    <col min="4" max="4" width="4.6640625" style="289" bestFit="1" customWidth="1"/>
    <col min="5" max="5" width="10.21875" style="290" bestFit="1" customWidth="1"/>
    <col min="6" max="6" width="14.44140625" style="289" bestFit="1" customWidth="1"/>
    <col min="7" max="7" width="10.77734375" style="289" bestFit="1" customWidth="1"/>
    <col min="8" max="8" width="14.44140625" style="289" bestFit="1" customWidth="1"/>
    <col min="9" max="9" width="12" style="289" bestFit="1" customWidth="1"/>
    <col min="10" max="10" width="14.44140625" style="289" bestFit="1" customWidth="1"/>
    <col min="11" max="11" width="10.77734375" style="289" bestFit="1" customWidth="1"/>
    <col min="12" max="12" width="9.109375" style="289"/>
    <col min="13" max="13" width="11" style="289" bestFit="1" customWidth="1"/>
    <col min="14" max="14" width="14.5546875" style="290" bestFit="1" customWidth="1"/>
    <col min="15" max="15" width="9.109375" style="289"/>
    <col min="16" max="16" width="18.33203125" style="289" customWidth="1"/>
    <col min="17" max="16384" width="9.109375" style="289"/>
  </cols>
  <sheetData>
    <row r="1" spans="2:14" ht="14.4" thickBot="1" x14ac:dyDescent="0.35"/>
    <row r="2" spans="2:14" x14ac:dyDescent="0.3">
      <c r="B2" s="2054" t="s">
        <v>0</v>
      </c>
      <c r="C2" s="2054" t="s">
        <v>4</v>
      </c>
      <c r="D2" s="2054" t="s">
        <v>5</v>
      </c>
      <c r="E2" s="2064" t="s">
        <v>55</v>
      </c>
      <c r="F2" s="2472" t="s">
        <v>603</v>
      </c>
      <c r="G2" s="2472"/>
      <c r="H2" s="2472"/>
      <c r="I2" s="2472"/>
      <c r="J2" s="2472"/>
      <c r="K2" s="2473"/>
      <c r="L2" s="293"/>
    </row>
    <row r="3" spans="2:14" ht="13.8" customHeight="1" x14ac:dyDescent="0.3">
      <c r="B3" s="2063"/>
      <c r="C3" s="2063"/>
      <c r="D3" s="2063"/>
      <c r="E3" s="2065"/>
      <c r="F3" s="2470" t="s">
        <v>604</v>
      </c>
      <c r="G3" s="2471"/>
      <c r="H3" s="2466" t="s">
        <v>605</v>
      </c>
      <c r="I3" s="2467"/>
      <c r="J3" s="2466" t="s">
        <v>8</v>
      </c>
      <c r="K3" s="2467"/>
      <c r="L3" s="293"/>
    </row>
    <row r="4" spans="2:14" ht="15" customHeight="1" thickBot="1" x14ac:dyDescent="0.35">
      <c r="B4" s="2055"/>
      <c r="C4" s="2055"/>
      <c r="D4" s="2055"/>
      <c r="E4" s="2066"/>
      <c r="F4" s="1499" t="s">
        <v>606</v>
      </c>
      <c r="G4" s="931" t="s">
        <v>607</v>
      </c>
      <c r="H4" s="930" t="s">
        <v>606</v>
      </c>
      <c r="I4" s="931" t="s">
        <v>607</v>
      </c>
      <c r="J4" s="930" t="s">
        <v>606</v>
      </c>
      <c r="K4" s="931" t="s">
        <v>607</v>
      </c>
      <c r="L4" s="293"/>
    </row>
    <row r="5" spans="2:14" ht="16.2" thickBot="1" x14ac:dyDescent="0.35">
      <c r="B5" s="2060" t="s">
        <v>258</v>
      </c>
      <c r="C5" s="2061"/>
      <c r="D5" s="2061"/>
      <c r="E5" s="2061"/>
      <c r="F5" s="2468"/>
      <c r="G5" s="2468"/>
      <c r="H5" s="2468"/>
      <c r="I5" s="2468"/>
      <c r="J5" s="2468"/>
      <c r="K5" s="2469"/>
      <c r="L5" s="293"/>
    </row>
    <row r="6" spans="2:14" ht="14.4" thickBot="1" x14ac:dyDescent="0.35">
      <c r="B6" s="296" t="s">
        <v>1</v>
      </c>
      <c r="C6" s="297" t="s">
        <v>159</v>
      </c>
      <c r="D6" s="298"/>
      <c r="E6" s="299"/>
      <c r="F6" s="300"/>
      <c r="G6" s="300"/>
      <c r="H6" s="300"/>
      <c r="I6" s="300"/>
      <c r="J6" s="300"/>
      <c r="K6" s="300"/>
      <c r="L6" s="293"/>
    </row>
    <row r="7" spans="2:14" ht="14.4" thickBot="1" x14ac:dyDescent="0.35">
      <c r="B7" s="296"/>
      <c r="C7" s="301" t="s">
        <v>287</v>
      </c>
      <c r="D7" s="298"/>
      <c r="E7" s="299"/>
      <c r="F7" s="300"/>
      <c r="G7" s="300"/>
      <c r="H7" s="300"/>
      <c r="I7" s="300"/>
      <c r="J7" s="300"/>
      <c r="K7" s="300"/>
      <c r="L7" s="293"/>
    </row>
    <row r="8" spans="2:14" ht="14.4" thickBot="1" x14ac:dyDescent="0.35">
      <c r="B8" s="302" t="s">
        <v>141</v>
      </c>
      <c r="C8" s="303" t="s">
        <v>288</v>
      </c>
      <c r="D8" s="304"/>
      <c r="E8" s="305"/>
      <c r="F8" s="306"/>
      <c r="G8" s="306"/>
      <c r="H8" s="306"/>
      <c r="I8" s="306"/>
      <c r="J8" s="306"/>
      <c r="K8" s="306"/>
      <c r="L8" s="293"/>
    </row>
    <row r="9" spans="2:14" ht="14.4" thickBot="1" x14ac:dyDescent="0.35">
      <c r="B9" s="307">
        <v>1</v>
      </c>
      <c r="C9" s="308" t="s">
        <v>173</v>
      </c>
      <c r="D9" s="309"/>
      <c r="E9" s="310"/>
      <c r="F9" s="311"/>
      <c r="G9" s="311"/>
      <c r="H9" s="311"/>
      <c r="I9" s="311"/>
      <c r="J9" s="311"/>
      <c r="K9" s="311"/>
      <c r="L9" s="293"/>
    </row>
    <row r="10" spans="2:14" s="318" customFormat="1" ht="14.4" thickBot="1" x14ac:dyDescent="0.35">
      <c r="B10" s="312">
        <v>1.1000000000000001</v>
      </c>
      <c r="C10" s="313" t="s">
        <v>129</v>
      </c>
      <c r="D10" s="314"/>
      <c r="E10" s="315"/>
      <c r="F10" s="316"/>
      <c r="G10" s="316"/>
      <c r="H10" s="316"/>
      <c r="I10" s="316"/>
      <c r="J10" s="316"/>
      <c r="K10" s="316"/>
      <c r="L10" s="317"/>
      <c r="N10" s="420"/>
    </row>
    <row r="11" spans="2:14" ht="29.4" thickBot="1" x14ac:dyDescent="0.35">
      <c r="B11" s="307" t="s">
        <v>174</v>
      </c>
      <c r="C11" s="1337" t="s">
        <v>706</v>
      </c>
      <c r="D11" s="319" t="s">
        <v>10</v>
      </c>
      <c r="E11" s="310">
        <f>'16. APP UIIDP'!D15</f>
        <v>2548</v>
      </c>
      <c r="F11" s="937">
        <v>27</v>
      </c>
      <c r="G11" s="937">
        <v>15</v>
      </c>
      <c r="H11" s="937">
        <v>20</v>
      </c>
      <c r="I11" s="937">
        <v>12</v>
      </c>
      <c r="J11" s="937">
        <f>F11+H11</f>
        <v>47</v>
      </c>
      <c r="K11" s="937">
        <f>G11+I11</f>
        <v>27</v>
      </c>
      <c r="L11" s="293"/>
    </row>
    <row r="12" spans="2:14" ht="15" thickBot="1" x14ac:dyDescent="0.35">
      <c r="B12" s="307" t="s">
        <v>176</v>
      </c>
      <c r="C12" s="1337" t="s">
        <v>803</v>
      </c>
      <c r="D12" s="319" t="s">
        <v>10</v>
      </c>
      <c r="E12" s="310">
        <f>'16. APP UIIDP'!D18</f>
        <v>1470</v>
      </c>
      <c r="F12" s="937">
        <v>22</v>
      </c>
      <c r="G12" s="937">
        <v>12</v>
      </c>
      <c r="H12" s="937">
        <v>18</v>
      </c>
      <c r="I12" s="937">
        <v>10</v>
      </c>
      <c r="J12" s="937">
        <f t="shared" ref="J12:J40" si="0">F12+H12</f>
        <v>40</v>
      </c>
      <c r="K12" s="937">
        <f t="shared" ref="K12:K40" si="1">G12+I12</f>
        <v>22</v>
      </c>
      <c r="L12" s="293"/>
    </row>
    <row r="13" spans="2:14" ht="15" thickBot="1" x14ac:dyDescent="0.35">
      <c r="B13" s="307" t="s">
        <v>259</v>
      </c>
      <c r="C13" s="1337" t="s">
        <v>808</v>
      </c>
      <c r="D13" s="319" t="s">
        <v>10</v>
      </c>
      <c r="E13" s="310">
        <f>'16. APP UIIDP'!D21</f>
        <v>1470</v>
      </c>
      <c r="F13" s="937">
        <v>22</v>
      </c>
      <c r="G13" s="937">
        <v>12</v>
      </c>
      <c r="H13" s="937">
        <v>18</v>
      </c>
      <c r="I13" s="937">
        <v>10</v>
      </c>
      <c r="J13" s="937">
        <f t="shared" si="0"/>
        <v>40</v>
      </c>
      <c r="K13" s="937">
        <f t="shared" si="1"/>
        <v>22</v>
      </c>
      <c r="L13" s="293"/>
    </row>
    <row r="14" spans="2:14" ht="15" thickBot="1" x14ac:dyDescent="0.35">
      <c r="B14" s="307" t="s">
        <v>261</v>
      </c>
      <c r="C14" s="1337" t="s">
        <v>708</v>
      </c>
      <c r="D14" s="319" t="s">
        <v>10</v>
      </c>
      <c r="E14" s="310">
        <f>'16. APP UIIDP'!D24</f>
        <v>2310</v>
      </c>
      <c r="F14" s="937">
        <v>27</v>
      </c>
      <c r="G14" s="937">
        <v>15</v>
      </c>
      <c r="H14" s="937">
        <v>20</v>
      </c>
      <c r="I14" s="937">
        <v>12</v>
      </c>
      <c r="J14" s="937">
        <f t="shared" si="0"/>
        <v>47</v>
      </c>
      <c r="K14" s="937">
        <f t="shared" si="1"/>
        <v>27</v>
      </c>
      <c r="L14" s="293"/>
    </row>
    <row r="15" spans="2:14" ht="29.4" thickBot="1" x14ac:dyDescent="0.35">
      <c r="B15" s="307" t="s">
        <v>262</v>
      </c>
      <c r="C15" s="1337" t="s">
        <v>709</v>
      </c>
      <c r="D15" s="319" t="s">
        <v>10</v>
      </c>
      <c r="E15" s="310">
        <f>'16. APP UIIDP'!D27</f>
        <v>2310</v>
      </c>
      <c r="F15" s="937">
        <v>27</v>
      </c>
      <c r="G15" s="937">
        <v>15</v>
      </c>
      <c r="H15" s="937">
        <v>20</v>
      </c>
      <c r="I15" s="937">
        <v>12</v>
      </c>
      <c r="J15" s="937">
        <f t="shared" si="0"/>
        <v>47</v>
      </c>
      <c r="K15" s="937">
        <f t="shared" si="1"/>
        <v>27</v>
      </c>
      <c r="L15" s="293"/>
    </row>
    <row r="16" spans="2:14" ht="29.4" thickBot="1" x14ac:dyDescent="0.35">
      <c r="B16" s="307" t="s">
        <v>263</v>
      </c>
      <c r="C16" s="1337" t="s">
        <v>710</v>
      </c>
      <c r="D16" s="319" t="s">
        <v>10</v>
      </c>
      <c r="E16" s="310">
        <f>'16. APP UIIDP'!D30</f>
        <v>2380</v>
      </c>
      <c r="F16" s="937">
        <v>27</v>
      </c>
      <c r="G16" s="937">
        <v>15</v>
      </c>
      <c r="H16" s="937">
        <v>20</v>
      </c>
      <c r="I16" s="937">
        <v>12</v>
      </c>
      <c r="J16" s="937">
        <f t="shared" si="0"/>
        <v>47</v>
      </c>
      <c r="K16" s="937">
        <f t="shared" si="1"/>
        <v>27</v>
      </c>
      <c r="L16" s="293"/>
    </row>
    <row r="17" spans="2:16" ht="15" thickBot="1" x14ac:dyDescent="0.35">
      <c r="B17" s="307" t="s">
        <v>264</v>
      </c>
      <c r="C17" s="1337" t="s">
        <v>711</v>
      </c>
      <c r="D17" s="319" t="s">
        <v>10</v>
      </c>
      <c r="E17" s="310">
        <f>'16. APP UIIDP'!D33</f>
        <v>2625</v>
      </c>
      <c r="F17" s="937">
        <v>28</v>
      </c>
      <c r="G17" s="937">
        <v>16</v>
      </c>
      <c r="H17" s="937">
        <v>21</v>
      </c>
      <c r="I17" s="937">
        <v>13</v>
      </c>
      <c r="J17" s="937">
        <f t="shared" si="0"/>
        <v>49</v>
      </c>
      <c r="K17" s="937">
        <f t="shared" si="1"/>
        <v>29</v>
      </c>
      <c r="L17" s="293"/>
    </row>
    <row r="18" spans="2:16" ht="29.4" thickBot="1" x14ac:dyDescent="0.35">
      <c r="B18" s="307" t="s">
        <v>265</v>
      </c>
      <c r="C18" s="1337" t="s">
        <v>712</v>
      </c>
      <c r="D18" s="319" t="s">
        <v>10</v>
      </c>
      <c r="E18" s="310">
        <f>'16. APP UIIDP'!D36</f>
        <v>1750</v>
      </c>
      <c r="F18" s="937">
        <v>22</v>
      </c>
      <c r="G18" s="937">
        <v>12</v>
      </c>
      <c r="H18" s="937">
        <v>18</v>
      </c>
      <c r="I18" s="937">
        <v>10</v>
      </c>
      <c r="J18" s="937">
        <f t="shared" si="0"/>
        <v>40</v>
      </c>
      <c r="K18" s="937">
        <f t="shared" si="1"/>
        <v>22</v>
      </c>
      <c r="L18" s="293"/>
      <c r="P18" s="928">
        <v>0.419622103020793</v>
      </c>
    </row>
    <row r="19" spans="2:16" ht="29.4" thickBot="1" x14ac:dyDescent="0.35">
      <c r="B19" s="307" t="s">
        <v>266</v>
      </c>
      <c r="C19" s="1337" t="s">
        <v>713</v>
      </c>
      <c r="D19" s="319" t="s">
        <v>10</v>
      </c>
      <c r="E19" s="310">
        <f>'16. APP UIIDP'!D39</f>
        <v>1260</v>
      </c>
      <c r="F19" s="937">
        <v>22</v>
      </c>
      <c r="G19" s="937">
        <v>12</v>
      </c>
      <c r="H19" s="937">
        <v>18</v>
      </c>
      <c r="I19" s="937">
        <v>10</v>
      </c>
      <c r="J19" s="937">
        <f t="shared" si="0"/>
        <v>40</v>
      </c>
      <c r="K19" s="937">
        <f t="shared" si="1"/>
        <v>22</v>
      </c>
      <c r="L19" s="293"/>
      <c r="P19" s="927">
        <f>P18+1</f>
        <v>1.4196221030207929</v>
      </c>
    </row>
    <row r="20" spans="2:16" ht="15" thickBot="1" x14ac:dyDescent="0.35">
      <c r="B20" s="307" t="s">
        <v>267</v>
      </c>
      <c r="C20" s="1337" t="s">
        <v>714</v>
      </c>
      <c r="D20" s="319" t="s">
        <v>10</v>
      </c>
      <c r="E20" s="310">
        <f>'16. APP UIIDP'!D42</f>
        <v>1890</v>
      </c>
      <c r="F20" s="937">
        <v>22</v>
      </c>
      <c r="G20" s="937">
        <v>12</v>
      </c>
      <c r="H20" s="937">
        <v>18</v>
      </c>
      <c r="I20" s="937">
        <v>10</v>
      </c>
      <c r="J20" s="937">
        <f t="shared" si="0"/>
        <v>40</v>
      </c>
      <c r="K20" s="937">
        <f t="shared" si="1"/>
        <v>22</v>
      </c>
      <c r="L20" s="293"/>
      <c r="P20" s="927">
        <v>1.8392442060415899</v>
      </c>
    </row>
    <row r="21" spans="2:16" ht="15" thickBot="1" x14ac:dyDescent="0.35">
      <c r="B21" s="307" t="s">
        <v>268</v>
      </c>
      <c r="C21" s="1337" t="s">
        <v>715</v>
      </c>
      <c r="D21" s="319" t="s">
        <v>10</v>
      </c>
      <c r="E21" s="322">
        <f>'16. APP UIIDP'!D45</f>
        <v>2240</v>
      </c>
      <c r="F21" s="937">
        <v>26</v>
      </c>
      <c r="G21" s="937">
        <v>14</v>
      </c>
      <c r="H21" s="937">
        <v>20</v>
      </c>
      <c r="I21" s="937">
        <v>12</v>
      </c>
      <c r="J21" s="937">
        <f t="shared" si="0"/>
        <v>46</v>
      </c>
      <c r="K21" s="937">
        <f t="shared" si="1"/>
        <v>26</v>
      </c>
      <c r="L21" s="293"/>
    </row>
    <row r="22" spans="2:16" ht="29.4" thickBot="1" x14ac:dyDescent="0.35">
      <c r="B22" s="307" t="s">
        <v>269</v>
      </c>
      <c r="C22" s="1337" t="s">
        <v>716</v>
      </c>
      <c r="D22" s="319" t="s">
        <v>10</v>
      </c>
      <c r="E22" s="310">
        <f>'16. APP UIIDP'!D48</f>
        <v>2310</v>
      </c>
      <c r="F22" s="937">
        <v>27</v>
      </c>
      <c r="G22" s="937">
        <v>15</v>
      </c>
      <c r="H22" s="937">
        <v>20</v>
      </c>
      <c r="I22" s="937">
        <v>12</v>
      </c>
      <c r="J22" s="937">
        <f t="shared" si="0"/>
        <v>47</v>
      </c>
      <c r="K22" s="937">
        <f t="shared" si="1"/>
        <v>27</v>
      </c>
      <c r="L22" s="293"/>
    </row>
    <row r="23" spans="2:16" ht="43.8" thickBot="1" x14ac:dyDescent="0.35">
      <c r="B23" s="307" t="s">
        <v>270</v>
      </c>
      <c r="C23" s="1337" t="s">
        <v>717</v>
      </c>
      <c r="D23" s="319" t="s">
        <v>10</v>
      </c>
      <c r="E23" s="310">
        <f>'16. APP UIIDP'!D51</f>
        <v>2590</v>
      </c>
      <c r="F23" s="937">
        <v>27</v>
      </c>
      <c r="G23" s="937">
        <v>15</v>
      </c>
      <c r="H23" s="937">
        <v>20</v>
      </c>
      <c r="I23" s="937">
        <v>12</v>
      </c>
      <c r="J23" s="937">
        <f t="shared" si="0"/>
        <v>47</v>
      </c>
      <c r="K23" s="937">
        <f t="shared" si="1"/>
        <v>27</v>
      </c>
      <c r="L23" s="293"/>
    </row>
    <row r="24" spans="2:16" ht="15" thickBot="1" x14ac:dyDescent="0.35">
      <c r="B24" s="307" t="s">
        <v>271</v>
      </c>
      <c r="C24" s="1337" t="s">
        <v>718</v>
      </c>
      <c r="D24" s="319" t="s">
        <v>10</v>
      </c>
      <c r="E24" s="321">
        <f>'16. APP UIIDP'!D54</f>
        <v>2184</v>
      </c>
      <c r="F24" s="937">
        <v>27</v>
      </c>
      <c r="G24" s="937">
        <v>14</v>
      </c>
      <c r="H24" s="937">
        <v>20</v>
      </c>
      <c r="I24" s="937">
        <v>12</v>
      </c>
      <c r="J24" s="937">
        <f t="shared" si="0"/>
        <v>47</v>
      </c>
      <c r="K24" s="937">
        <f t="shared" si="1"/>
        <v>26</v>
      </c>
      <c r="L24" s="293"/>
    </row>
    <row r="25" spans="2:16" ht="15" thickBot="1" x14ac:dyDescent="0.35">
      <c r="B25" s="307" t="s">
        <v>272</v>
      </c>
      <c r="C25" s="1337" t="s">
        <v>804</v>
      </c>
      <c r="D25" s="1468" t="s">
        <v>10</v>
      </c>
      <c r="E25" s="323">
        <f>'16. APP UIIDP'!D60</f>
        <v>1470</v>
      </c>
      <c r="F25" s="937">
        <v>22</v>
      </c>
      <c r="G25" s="937">
        <v>12</v>
      </c>
      <c r="H25" s="937">
        <v>18</v>
      </c>
      <c r="I25" s="937">
        <v>10</v>
      </c>
      <c r="J25" s="937">
        <f t="shared" si="0"/>
        <v>40</v>
      </c>
      <c r="K25" s="937">
        <f t="shared" si="1"/>
        <v>22</v>
      </c>
      <c r="L25" s="293"/>
    </row>
    <row r="26" spans="2:16" ht="29.4" thickBot="1" x14ac:dyDescent="0.35">
      <c r="B26" s="307" t="s">
        <v>273</v>
      </c>
      <c r="C26" s="1337" t="s">
        <v>805</v>
      </c>
      <c r="D26" s="1468" t="s">
        <v>10</v>
      </c>
      <c r="E26" s="323">
        <f>'16. APP UIIDP'!D60</f>
        <v>1470</v>
      </c>
      <c r="F26" s="937">
        <v>22</v>
      </c>
      <c r="G26" s="937">
        <v>12</v>
      </c>
      <c r="H26" s="937">
        <v>18</v>
      </c>
      <c r="I26" s="937">
        <v>10</v>
      </c>
      <c r="J26" s="937">
        <f t="shared" si="0"/>
        <v>40</v>
      </c>
      <c r="K26" s="937">
        <f t="shared" si="1"/>
        <v>22</v>
      </c>
      <c r="L26" s="293"/>
    </row>
    <row r="27" spans="2:16" ht="29.4" thickBot="1" x14ac:dyDescent="0.35">
      <c r="B27" s="307" t="s">
        <v>274</v>
      </c>
      <c r="C27" s="1337" t="s">
        <v>719</v>
      </c>
      <c r="D27" s="1468" t="s">
        <v>10</v>
      </c>
      <c r="E27" s="323">
        <f>'16. APP UIIDP'!D63</f>
        <v>1890</v>
      </c>
      <c r="F27" s="937">
        <v>22</v>
      </c>
      <c r="G27" s="937">
        <v>12</v>
      </c>
      <c r="H27" s="937">
        <v>18</v>
      </c>
      <c r="I27" s="937">
        <v>10</v>
      </c>
      <c r="J27" s="937">
        <f t="shared" si="0"/>
        <v>40</v>
      </c>
      <c r="K27" s="937">
        <f t="shared" si="1"/>
        <v>22</v>
      </c>
      <c r="L27" s="293"/>
      <c r="P27" s="928" t="e">
        <f>N23/N22</f>
        <v>#DIV/0!</v>
      </c>
    </row>
    <row r="28" spans="2:16" ht="29.4" thickBot="1" x14ac:dyDescent="0.35">
      <c r="B28" s="307" t="s">
        <v>275</v>
      </c>
      <c r="C28" s="1337" t="s">
        <v>720</v>
      </c>
      <c r="D28" s="1468" t="s">
        <v>10</v>
      </c>
      <c r="E28" s="323">
        <f>'16. APP UIIDP'!D66</f>
        <v>2380</v>
      </c>
      <c r="F28" s="937">
        <v>27</v>
      </c>
      <c r="G28" s="937">
        <v>15</v>
      </c>
      <c r="H28" s="937">
        <v>20</v>
      </c>
      <c r="I28" s="937">
        <v>12</v>
      </c>
      <c r="J28" s="937">
        <f t="shared" si="0"/>
        <v>47</v>
      </c>
      <c r="K28" s="937">
        <f t="shared" si="1"/>
        <v>27</v>
      </c>
      <c r="L28" s="293"/>
      <c r="P28" s="289" t="e">
        <f>P27*2</f>
        <v>#DIV/0!</v>
      </c>
    </row>
    <row r="29" spans="2:16" ht="29.4" thickBot="1" x14ac:dyDescent="0.35">
      <c r="B29" s="307" t="s">
        <v>276</v>
      </c>
      <c r="C29" s="1337" t="s">
        <v>721</v>
      </c>
      <c r="D29" s="319" t="s">
        <v>10</v>
      </c>
      <c r="E29" s="310">
        <f>'16. APP UIIDP'!D69</f>
        <v>2700</v>
      </c>
      <c r="F29" s="937">
        <v>28</v>
      </c>
      <c r="G29" s="937">
        <v>16</v>
      </c>
      <c r="H29" s="937">
        <v>21</v>
      </c>
      <c r="I29" s="937">
        <v>13</v>
      </c>
      <c r="J29" s="937">
        <f t="shared" si="0"/>
        <v>49</v>
      </c>
      <c r="K29" s="937">
        <f t="shared" si="1"/>
        <v>29</v>
      </c>
      <c r="L29" s="293"/>
      <c r="P29" s="927" t="e">
        <f>P28+1</f>
        <v>#DIV/0!</v>
      </c>
    </row>
    <row r="30" spans="2:16" ht="29.4" thickBot="1" x14ac:dyDescent="0.35">
      <c r="B30" s="307" t="s">
        <v>277</v>
      </c>
      <c r="C30" s="1337" t="s">
        <v>722</v>
      </c>
      <c r="D30" s="319" t="s">
        <v>10</v>
      </c>
      <c r="E30" s="310">
        <f>'16. APP UIIDP'!D72</f>
        <v>2320</v>
      </c>
      <c r="F30" s="937">
        <v>27</v>
      </c>
      <c r="G30" s="937">
        <v>15</v>
      </c>
      <c r="H30" s="937">
        <v>20</v>
      </c>
      <c r="I30" s="937">
        <v>12</v>
      </c>
      <c r="J30" s="937">
        <f t="shared" si="0"/>
        <v>47</v>
      </c>
      <c r="K30" s="937">
        <f t="shared" si="1"/>
        <v>27</v>
      </c>
      <c r="L30" s="293"/>
    </row>
    <row r="31" spans="2:16" ht="29.4" thickBot="1" x14ac:dyDescent="0.35">
      <c r="B31" s="307" t="s">
        <v>278</v>
      </c>
      <c r="C31" s="1337" t="s">
        <v>723</v>
      </c>
      <c r="D31" s="319" t="s">
        <v>10</v>
      </c>
      <c r="E31" s="310">
        <f>'16. APP UIIDP'!D75</f>
        <v>2800</v>
      </c>
      <c r="F31" s="937">
        <v>28</v>
      </c>
      <c r="G31" s="937">
        <v>16</v>
      </c>
      <c r="H31" s="937">
        <v>21</v>
      </c>
      <c r="I31" s="937">
        <v>13</v>
      </c>
      <c r="J31" s="937">
        <f t="shared" si="0"/>
        <v>49</v>
      </c>
      <c r="K31" s="937">
        <f t="shared" si="1"/>
        <v>29</v>
      </c>
      <c r="L31" s="293"/>
    </row>
    <row r="32" spans="2:16" ht="29.4" thickBot="1" x14ac:dyDescent="0.35">
      <c r="B32" s="307" t="s">
        <v>753</v>
      </c>
      <c r="C32" s="1337" t="s">
        <v>724</v>
      </c>
      <c r="D32" s="319" t="s">
        <v>10</v>
      </c>
      <c r="E32" s="310">
        <f>'16. APP UIIDP'!D78</f>
        <v>2450</v>
      </c>
      <c r="F32" s="937">
        <v>27</v>
      </c>
      <c r="G32" s="937">
        <v>15</v>
      </c>
      <c r="H32" s="937">
        <v>20</v>
      </c>
      <c r="I32" s="937">
        <v>12</v>
      </c>
      <c r="J32" s="937">
        <f t="shared" si="0"/>
        <v>47</v>
      </c>
      <c r="K32" s="937">
        <f t="shared" si="1"/>
        <v>27</v>
      </c>
      <c r="L32" s="293"/>
    </row>
    <row r="33" spans="2:14" ht="29.4" thickBot="1" x14ac:dyDescent="0.35">
      <c r="B33" s="307" t="s">
        <v>754</v>
      </c>
      <c r="C33" s="1337" t="s">
        <v>725</v>
      </c>
      <c r="D33" s="319" t="s">
        <v>10</v>
      </c>
      <c r="E33" s="310">
        <f>'16. APP UIIDP'!D81</f>
        <v>1960</v>
      </c>
      <c r="F33" s="937">
        <v>22</v>
      </c>
      <c r="G33" s="937">
        <v>12</v>
      </c>
      <c r="H33" s="937">
        <v>18</v>
      </c>
      <c r="I33" s="937">
        <v>10</v>
      </c>
      <c r="J33" s="937">
        <f t="shared" si="0"/>
        <v>40</v>
      </c>
      <c r="K33" s="937">
        <f t="shared" si="1"/>
        <v>22</v>
      </c>
      <c r="L33" s="293"/>
    </row>
    <row r="34" spans="2:14" ht="29.4" thickBot="1" x14ac:dyDescent="0.35">
      <c r="B34" s="307" t="s">
        <v>755</v>
      </c>
      <c r="C34" s="1337" t="s">
        <v>726</v>
      </c>
      <c r="D34" s="319" t="s">
        <v>10</v>
      </c>
      <c r="E34" s="310">
        <f>'16. APP UIIDP'!D84</f>
        <v>1960</v>
      </c>
      <c r="F34" s="937">
        <v>22</v>
      </c>
      <c r="G34" s="937">
        <v>12</v>
      </c>
      <c r="H34" s="937">
        <v>18</v>
      </c>
      <c r="I34" s="937">
        <v>10</v>
      </c>
      <c r="J34" s="937">
        <f t="shared" si="0"/>
        <v>40</v>
      </c>
      <c r="K34" s="937">
        <f t="shared" si="1"/>
        <v>22</v>
      </c>
      <c r="L34" s="293"/>
    </row>
    <row r="35" spans="2:14" ht="29.4" thickBot="1" x14ac:dyDescent="0.35">
      <c r="B35" s="307" t="s">
        <v>756</v>
      </c>
      <c r="C35" s="1337" t="s">
        <v>727</v>
      </c>
      <c r="D35" s="319" t="s">
        <v>10</v>
      </c>
      <c r="E35" s="310">
        <f>'16. APP UIIDP'!D87</f>
        <v>1820</v>
      </c>
      <c r="F35" s="937">
        <v>22</v>
      </c>
      <c r="G35" s="937">
        <v>12</v>
      </c>
      <c r="H35" s="937">
        <v>18</v>
      </c>
      <c r="I35" s="937">
        <v>10</v>
      </c>
      <c r="J35" s="937">
        <f t="shared" si="0"/>
        <v>40</v>
      </c>
      <c r="K35" s="937">
        <f t="shared" si="1"/>
        <v>22</v>
      </c>
      <c r="L35" s="293"/>
    </row>
    <row r="36" spans="2:14" ht="29.4" thickBot="1" x14ac:dyDescent="0.35">
      <c r="B36" s="307" t="s">
        <v>757</v>
      </c>
      <c r="C36" s="1337" t="s">
        <v>728</v>
      </c>
      <c r="D36" s="319" t="s">
        <v>10</v>
      </c>
      <c r="E36" s="310">
        <f>'16. APP UIIDP'!D90</f>
        <v>1620</v>
      </c>
      <c r="F36" s="937">
        <v>22</v>
      </c>
      <c r="G36" s="937">
        <v>12</v>
      </c>
      <c r="H36" s="937">
        <v>18</v>
      </c>
      <c r="I36" s="937">
        <v>10</v>
      </c>
      <c r="J36" s="937">
        <f t="shared" si="0"/>
        <v>40</v>
      </c>
      <c r="K36" s="937">
        <f t="shared" si="1"/>
        <v>22</v>
      </c>
      <c r="L36" s="293"/>
    </row>
    <row r="37" spans="2:14" ht="15" thickBot="1" x14ac:dyDescent="0.35">
      <c r="B37" s="307" t="s">
        <v>758</v>
      </c>
      <c r="C37" s="1337" t="s">
        <v>729</v>
      </c>
      <c r="D37" s="319" t="s">
        <v>10</v>
      </c>
      <c r="E37" s="310">
        <f>'16. APP UIIDP'!D93</f>
        <v>2160</v>
      </c>
      <c r="F37" s="937">
        <v>22</v>
      </c>
      <c r="G37" s="937">
        <v>15</v>
      </c>
      <c r="H37" s="937">
        <v>20</v>
      </c>
      <c r="I37" s="937">
        <v>12</v>
      </c>
      <c r="J37" s="937">
        <f t="shared" si="0"/>
        <v>42</v>
      </c>
      <c r="K37" s="937">
        <f t="shared" si="1"/>
        <v>27</v>
      </c>
      <c r="L37" s="293"/>
    </row>
    <row r="38" spans="2:14" ht="15" thickBot="1" x14ac:dyDescent="0.35">
      <c r="B38" s="307" t="s">
        <v>759</v>
      </c>
      <c r="C38" s="1337" t="s">
        <v>730</v>
      </c>
      <c r="D38" s="319" t="s">
        <v>10</v>
      </c>
      <c r="E38" s="310">
        <f>'16. APP UIIDP'!D96</f>
        <v>1869</v>
      </c>
      <c r="F38" s="937">
        <v>22</v>
      </c>
      <c r="G38" s="937">
        <v>12</v>
      </c>
      <c r="H38" s="937">
        <v>18</v>
      </c>
      <c r="I38" s="937">
        <v>10</v>
      </c>
      <c r="J38" s="937">
        <f t="shared" si="0"/>
        <v>40</v>
      </c>
      <c r="K38" s="937">
        <f t="shared" si="1"/>
        <v>22</v>
      </c>
      <c r="L38" s="293"/>
    </row>
    <row r="39" spans="2:14" ht="15" thickBot="1" x14ac:dyDescent="0.35">
      <c r="B39" s="289" t="s">
        <v>806</v>
      </c>
      <c r="C39" s="1337" t="s">
        <v>731</v>
      </c>
      <c r="D39" s="319" t="s">
        <v>10</v>
      </c>
      <c r="E39" s="310">
        <f>'16. APP UIIDP'!D99</f>
        <v>1520</v>
      </c>
      <c r="F39" s="937">
        <v>22</v>
      </c>
      <c r="G39" s="937">
        <v>12</v>
      </c>
      <c r="H39" s="937">
        <v>18</v>
      </c>
      <c r="I39" s="937">
        <v>10</v>
      </c>
      <c r="J39" s="937">
        <f t="shared" si="0"/>
        <v>40</v>
      </c>
      <c r="K39" s="937">
        <f t="shared" si="1"/>
        <v>22</v>
      </c>
      <c r="L39" s="293"/>
    </row>
    <row r="40" spans="2:14" ht="15" thickBot="1" x14ac:dyDescent="0.35">
      <c r="B40" s="289" t="s">
        <v>807</v>
      </c>
      <c r="C40" s="1337" t="s">
        <v>732</v>
      </c>
      <c r="D40" s="319" t="s">
        <v>10</v>
      </c>
      <c r="E40" s="310">
        <f>'16. APP UIIDP'!D102</f>
        <v>1760</v>
      </c>
      <c r="F40" s="937">
        <v>22</v>
      </c>
      <c r="G40" s="937">
        <v>12</v>
      </c>
      <c r="H40" s="937">
        <v>18</v>
      </c>
      <c r="I40" s="937">
        <v>10</v>
      </c>
      <c r="J40" s="937">
        <f t="shared" si="0"/>
        <v>40</v>
      </c>
      <c r="K40" s="937">
        <f t="shared" si="1"/>
        <v>22</v>
      </c>
      <c r="L40" s="293"/>
    </row>
    <row r="41" spans="2:14" ht="14.4" thickBot="1" x14ac:dyDescent="0.35">
      <c r="B41" s="325"/>
      <c r="C41" s="326" t="s">
        <v>279</v>
      </c>
      <c r="D41" s="327"/>
      <c r="E41" s="328">
        <f t="shared" ref="E41:K41" si="2">SUM(E11:E40)</f>
        <v>61486</v>
      </c>
      <c r="F41" s="933">
        <f t="shared" si="2"/>
        <v>732</v>
      </c>
      <c r="G41" s="933">
        <f t="shared" si="2"/>
        <v>406</v>
      </c>
      <c r="H41" s="933">
        <f t="shared" si="2"/>
        <v>573</v>
      </c>
      <c r="I41" s="933">
        <f t="shared" si="2"/>
        <v>333</v>
      </c>
      <c r="J41" s="933">
        <f t="shared" si="2"/>
        <v>1305</v>
      </c>
      <c r="K41" s="933">
        <f t="shared" si="2"/>
        <v>739</v>
      </c>
      <c r="L41" s="293"/>
      <c r="M41" s="289">
        <v>1249</v>
      </c>
      <c r="N41" s="290">
        <v>739</v>
      </c>
    </row>
    <row r="42" spans="2:14" ht="14.4" thickBot="1" x14ac:dyDescent="0.35">
      <c r="B42" s="348">
        <v>1.2</v>
      </c>
      <c r="C42" s="349" t="s">
        <v>397</v>
      </c>
      <c r="D42" s="349"/>
      <c r="E42" s="350"/>
      <c r="F42" s="350"/>
      <c r="G42" s="350"/>
      <c r="H42" s="350"/>
      <c r="I42" s="349"/>
      <c r="J42" s="349"/>
      <c r="K42" s="349"/>
      <c r="L42" s="293"/>
    </row>
    <row r="43" spans="2:14" s="339" customFormat="1" ht="27" thickBot="1" x14ac:dyDescent="0.35">
      <c r="B43" s="351" t="s">
        <v>178</v>
      </c>
      <c r="C43" s="352" t="s">
        <v>516</v>
      </c>
      <c r="D43" s="353" t="s">
        <v>517</v>
      </c>
      <c r="E43" s="354">
        <v>2.4</v>
      </c>
      <c r="F43" s="1469">
        <v>3</v>
      </c>
      <c r="G43" s="1469">
        <v>2</v>
      </c>
      <c r="H43" s="1469">
        <v>3</v>
      </c>
      <c r="I43" s="1470">
        <v>2</v>
      </c>
      <c r="J43" s="1470">
        <f>F43+H43</f>
        <v>6</v>
      </c>
      <c r="K43" s="1470">
        <f>G43+I43</f>
        <v>4</v>
      </c>
      <c r="L43" s="338"/>
      <c r="N43" s="925"/>
    </row>
    <row r="44" spans="2:14" s="339" customFormat="1" ht="14.4" thickBot="1" x14ac:dyDescent="0.35">
      <c r="B44" s="348"/>
      <c r="C44" s="349" t="s">
        <v>535</v>
      </c>
      <c r="D44" s="349"/>
      <c r="E44" s="350">
        <f>E43</f>
        <v>2.4</v>
      </c>
      <c r="F44" s="1471">
        <f t="shared" ref="F44:K44" si="3">F43</f>
        <v>3</v>
      </c>
      <c r="G44" s="1471">
        <f t="shared" si="3"/>
        <v>2</v>
      </c>
      <c r="H44" s="1471">
        <f t="shared" si="3"/>
        <v>3</v>
      </c>
      <c r="I44" s="1471">
        <f t="shared" si="3"/>
        <v>2</v>
      </c>
      <c r="J44" s="1471">
        <f t="shared" si="3"/>
        <v>6</v>
      </c>
      <c r="K44" s="1471">
        <f t="shared" si="3"/>
        <v>4</v>
      </c>
      <c r="L44" s="338"/>
      <c r="M44" s="339">
        <v>6</v>
      </c>
      <c r="N44" s="925">
        <v>4</v>
      </c>
    </row>
    <row r="45" spans="2:14" ht="14.4" thickBot="1" x14ac:dyDescent="0.35">
      <c r="B45" s="329">
        <v>1.3</v>
      </c>
      <c r="C45" s="330" t="s">
        <v>536</v>
      </c>
      <c r="D45" s="330"/>
      <c r="E45" s="331"/>
      <c r="F45" s="331"/>
      <c r="G45" s="331"/>
      <c r="H45" s="331"/>
      <c r="I45" s="330"/>
      <c r="J45" s="330"/>
      <c r="K45" s="330"/>
      <c r="L45" s="293"/>
    </row>
    <row r="46" spans="2:14" ht="15" thickBot="1" x14ac:dyDescent="0.35">
      <c r="B46" s="307" t="s">
        <v>181</v>
      </c>
      <c r="C46" s="3" t="s">
        <v>744</v>
      </c>
      <c r="D46" s="319" t="s">
        <v>3</v>
      </c>
      <c r="E46" s="332">
        <v>1</v>
      </c>
      <c r="F46" s="937">
        <v>25</v>
      </c>
      <c r="G46" s="937">
        <v>15</v>
      </c>
      <c r="H46" s="937">
        <v>22</v>
      </c>
      <c r="I46" s="937">
        <v>18</v>
      </c>
      <c r="J46" s="932">
        <f t="shared" ref="J46:K50" si="4">F46+H46</f>
        <v>47</v>
      </c>
      <c r="K46" s="932">
        <f t="shared" si="4"/>
        <v>33</v>
      </c>
      <c r="L46" s="293"/>
    </row>
    <row r="47" spans="2:14" ht="15" thickBot="1" x14ac:dyDescent="0.35">
      <c r="B47" s="307" t="s">
        <v>182</v>
      </c>
      <c r="C47" s="3" t="s">
        <v>745</v>
      </c>
      <c r="D47" s="319" t="s">
        <v>3</v>
      </c>
      <c r="E47" s="332">
        <v>1</v>
      </c>
      <c r="F47" s="937">
        <v>20</v>
      </c>
      <c r="G47" s="937">
        <v>12</v>
      </c>
      <c r="H47" s="937">
        <v>18</v>
      </c>
      <c r="I47" s="937">
        <v>15</v>
      </c>
      <c r="J47" s="932">
        <f t="shared" si="4"/>
        <v>38</v>
      </c>
      <c r="K47" s="932">
        <f t="shared" si="4"/>
        <v>27</v>
      </c>
      <c r="L47" s="293"/>
    </row>
    <row r="48" spans="2:14" ht="15" thickBot="1" x14ac:dyDescent="0.35">
      <c r="B48" s="307" t="s">
        <v>531</v>
      </c>
      <c r="C48" s="3" t="s">
        <v>746</v>
      </c>
      <c r="D48" s="319" t="s">
        <v>3</v>
      </c>
      <c r="E48" s="332">
        <v>1</v>
      </c>
      <c r="F48" s="937">
        <v>20</v>
      </c>
      <c r="G48" s="937">
        <v>12</v>
      </c>
      <c r="H48" s="937">
        <v>18</v>
      </c>
      <c r="I48" s="937">
        <v>15</v>
      </c>
      <c r="J48" s="932">
        <f t="shared" si="4"/>
        <v>38</v>
      </c>
      <c r="K48" s="932">
        <f t="shared" si="4"/>
        <v>27</v>
      </c>
      <c r="L48" s="293"/>
    </row>
    <row r="49" spans="2:14" ht="15" thickBot="1" x14ac:dyDescent="0.35">
      <c r="B49" s="307" t="s">
        <v>532</v>
      </c>
      <c r="C49" s="1406" t="s">
        <v>747</v>
      </c>
      <c r="D49" s="319" t="s">
        <v>3</v>
      </c>
      <c r="E49" s="333">
        <v>1</v>
      </c>
      <c r="F49" s="937">
        <v>25</v>
      </c>
      <c r="G49" s="937">
        <v>15</v>
      </c>
      <c r="H49" s="937">
        <v>30</v>
      </c>
      <c r="I49" s="937">
        <v>22</v>
      </c>
      <c r="J49" s="932">
        <f t="shared" si="4"/>
        <v>55</v>
      </c>
      <c r="K49" s="932">
        <f t="shared" si="4"/>
        <v>37</v>
      </c>
      <c r="L49" s="293"/>
    </row>
    <row r="50" spans="2:14" ht="15" thickBot="1" x14ac:dyDescent="0.35">
      <c r="B50" s="307" t="s">
        <v>537</v>
      </c>
      <c r="C50" s="3" t="s">
        <v>748</v>
      </c>
      <c r="D50" s="319" t="s">
        <v>3</v>
      </c>
      <c r="E50" s="333">
        <v>1</v>
      </c>
      <c r="F50" s="937">
        <v>55</v>
      </c>
      <c r="G50" s="937">
        <v>42</v>
      </c>
      <c r="H50" s="937">
        <v>49</v>
      </c>
      <c r="I50" s="937">
        <v>32</v>
      </c>
      <c r="J50" s="932">
        <f t="shared" si="4"/>
        <v>104</v>
      </c>
      <c r="K50" s="932">
        <f t="shared" si="4"/>
        <v>74</v>
      </c>
      <c r="L50" s="293"/>
    </row>
    <row r="51" spans="2:14" ht="14.4" thickBot="1" x14ac:dyDescent="0.35">
      <c r="B51" s="329"/>
      <c r="C51" s="330" t="s">
        <v>539</v>
      </c>
      <c r="D51" s="330"/>
      <c r="E51" s="331">
        <f>E46+E47+E48+E49+E50</f>
        <v>5</v>
      </c>
      <c r="F51" s="1474">
        <f t="shared" ref="F51:K51" si="5">F46+F47+F48+F49+F50</f>
        <v>145</v>
      </c>
      <c r="G51" s="1474">
        <f t="shared" si="5"/>
        <v>96</v>
      </c>
      <c r="H51" s="1474">
        <f t="shared" si="5"/>
        <v>137</v>
      </c>
      <c r="I51" s="1474">
        <f t="shared" si="5"/>
        <v>102</v>
      </c>
      <c r="J51" s="1474">
        <f t="shared" si="5"/>
        <v>282</v>
      </c>
      <c r="K51" s="1474">
        <f t="shared" si="5"/>
        <v>198</v>
      </c>
      <c r="L51" s="293"/>
      <c r="M51" s="289">
        <v>221</v>
      </c>
      <c r="N51" s="290">
        <v>136</v>
      </c>
    </row>
    <row r="52" spans="2:14" s="339" customFormat="1" ht="14.4" thickBot="1" x14ac:dyDescent="0.35">
      <c r="B52" s="335"/>
      <c r="C52" s="336" t="s">
        <v>315</v>
      </c>
      <c r="D52" s="336"/>
      <c r="E52" s="337"/>
      <c r="F52" s="1475">
        <f>F41+F44+F51</f>
        <v>880</v>
      </c>
      <c r="G52" s="1475">
        <f t="shared" ref="G52:K52" si="6">G41+G44+G51</f>
        <v>504</v>
      </c>
      <c r="H52" s="1475">
        <f t="shared" si="6"/>
        <v>713</v>
      </c>
      <c r="I52" s="1475">
        <f t="shared" si="6"/>
        <v>437</v>
      </c>
      <c r="J52" s="1475">
        <f t="shared" si="6"/>
        <v>1593</v>
      </c>
      <c r="K52" s="1475">
        <f t="shared" si="6"/>
        <v>941</v>
      </c>
      <c r="L52" s="338"/>
      <c r="N52" s="925"/>
    </row>
    <row r="53" spans="2:14" s="339" customFormat="1" ht="14.4" thickBot="1" x14ac:dyDescent="0.35">
      <c r="B53" s="340"/>
      <c r="C53" s="341" t="s">
        <v>316</v>
      </c>
      <c r="D53" s="342"/>
      <c r="E53" s="343"/>
      <c r="F53" s="343"/>
      <c r="G53" s="343"/>
      <c r="H53" s="343"/>
      <c r="I53" s="342"/>
      <c r="J53" s="342"/>
      <c r="K53" s="342"/>
      <c r="L53" s="338"/>
      <c r="N53" s="925"/>
    </row>
    <row r="54" spans="2:14" ht="14.4" thickBot="1" x14ac:dyDescent="0.35">
      <c r="B54" s="344">
        <v>1</v>
      </c>
      <c r="C54" s="345" t="s">
        <v>289</v>
      </c>
      <c r="D54" s="345"/>
      <c r="E54" s="346"/>
      <c r="F54" s="346"/>
      <c r="G54" s="346"/>
      <c r="H54" s="346"/>
      <c r="I54" s="345"/>
      <c r="J54" s="345"/>
      <c r="K54" s="345"/>
      <c r="L54" s="293"/>
    </row>
    <row r="55" spans="2:14" ht="27" thickBot="1" x14ac:dyDescent="0.35">
      <c r="B55" s="307">
        <v>1.1000000000000001</v>
      </c>
      <c r="C55" s="1407" t="s">
        <v>760</v>
      </c>
      <c r="D55" s="319" t="s">
        <v>10</v>
      </c>
      <c r="E55" s="332">
        <f>'16. APP UIIDP'!D181</f>
        <v>3745</v>
      </c>
      <c r="F55" s="937">
        <v>30</v>
      </c>
      <c r="G55" s="937">
        <v>20</v>
      </c>
      <c r="H55" s="937">
        <v>25</v>
      </c>
      <c r="I55" s="937">
        <v>18</v>
      </c>
      <c r="J55" s="932">
        <f>F55+H55</f>
        <v>55</v>
      </c>
      <c r="K55" s="1472">
        <f>G55+I55</f>
        <v>38</v>
      </c>
      <c r="L55" s="293"/>
      <c r="N55" s="289"/>
    </row>
    <row r="56" spans="2:14" ht="14.4" thickBot="1" x14ac:dyDescent="0.35">
      <c r="B56" s="307">
        <v>1.2</v>
      </c>
      <c r="C56" s="307" t="s">
        <v>492</v>
      </c>
      <c r="D56" s="319" t="s">
        <v>10</v>
      </c>
      <c r="E56" s="332">
        <f>'16. APP UIIDP'!D184</f>
        <v>70</v>
      </c>
      <c r="F56" s="932">
        <v>10</v>
      </c>
      <c r="G56" s="932">
        <v>6</v>
      </c>
      <c r="H56" s="932">
        <v>8</v>
      </c>
      <c r="I56" s="932">
        <v>6</v>
      </c>
      <c r="J56" s="932">
        <f t="shared" ref="J56:J61" si="7">F56+H56</f>
        <v>18</v>
      </c>
      <c r="K56" s="1472">
        <f t="shared" ref="K56:K61" si="8">G56+I56</f>
        <v>12</v>
      </c>
      <c r="L56" s="293"/>
      <c r="N56" s="289"/>
    </row>
    <row r="57" spans="2:14" ht="14.4" thickBot="1" x14ac:dyDescent="0.35">
      <c r="B57" s="390">
        <v>1.3</v>
      </c>
      <c r="C57" s="307" t="s">
        <v>493</v>
      </c>
      <c r="D57" s="319" t="s">
        <v>10</v>
      </c>
      <c r="E57" s="332">
        <f>'16. APP UIIDP'!D187</f>
        <v>140</v>
      </c>
      <c r="F57" s="932">
        <v>15</v>
      </c>
      <c r="G57" s="932">
        <v>13</v>
      </c>
      <c r="H57" s="932">
        <v>14</v>
      </c>
      <c r="I57" s="932">
        <v>12</v>
      </c>
      <c r="J57" s="932">
        <f t="shared" si="7"/>
        <v>29</v>
      </c>
      <c r="K57" s="1472">
        <f t="shared" si="8"/>
        <v>25</v>
      </c>
      <c r="L57" s="293"/>
      <c r="N57" s="289"/>
    </row>
    <row r="58" spans="2:14" ht="14.4" thickBot="1" x14ac:dyDescent="0.35">
      <c r="B58" s="685">
        <v>1.4</v>
      </c>
      <c r="C58" s="307" t="s">
        <v>494</v>
      </c>
      <c r="D58" s="319" t="s">
        <v>10</v>
      </c>
      <c r="E58" s="332">
        <f>'16. APP UIIDP'!D190</f>
        <v>70</v>
      </c>
      <c r="F58" s="932">
        <v>10</v>
      </c>
      <c r="G58" s="932">
        <v>6</v>
      </c>
      <c r="H58" s="932">
        <v>8</v>
      </c>
      <c r="I58" s="932">
        <v>6</v>
      </c>
      <c r="J58" s="932">
        <f t="shared" si="7"/>
        <v>18</v>
      </c>
      <c r="K58" s="1472">
        <f t="shared" si="8"/>
        <v>12</v>
      </c>
      <c r="L58" s="293"/>
      <c r="N58" s="289"/>
    </row>
    <row r="59" spans="2:14" ht="14.4" thickBot="1" x14ac:dyDescent="0.35">
      <c r="B59" s="685">
        <v>1.5</v>
      </c>
      <c r="C59" s="307" t="s">
        <v>495</v>
      </c>
      <c r="D59" s="319" t="s">
        <v>10</v>
      </c>
      <c r="E59" s="332">
        <f>'16. APP UIIDP'!D193</f>
        <v>70</v>
      </c>
      <c r="F59" s="932">
        <v>10</v>
      </c>
      <c r="G59" s="932">
        <v>6</v>
      </c>
      <c r="H59" s="932">
        <v>8</v>
      </c>
      <c r="I59" s="932">
        <v>6</v>
      </c>
      <c r="J59" s="932">
        <f t="shared" si="7"/>
        <v>18</v>
      </c>
      <c r="K59" s="1472">
        <f t="shared" si="8"/>
        <v>12</v>
      </c>
      <c r="L59" s="293"/>
      <c r="N59" s="289"/>
    </row>
    <row r="60" spans="2:14" ht="14.4" thickBot="1" x14ac:dyDescent="0.35">
      <c r="B60" s="685">
        <v>1.6</v>
      </c>
      <c r="C60" s="307" t="s">
        <v>496</v>
      </c>
      <c r="D60" s="319" t="s">
        <v>10</v>
      </c>
      <c r="E60" s="332">
        <f>'16. APP UIIDP'!D196</f>
        <v>70</v>
      </c>
      <c r="F60" s="932">
        <v>10</v>
      </c>
      <c r="G60" s="932">
        <v>6</v>
      </c>
      <c r="H60" s="932">
        <v>8</v>
      </c>
      <c r="I60" s="932">
        <v>6</v>
      </c>
      <c r="J60" s="932">
        <f t="shared" si="7"/>
        <v>18</v>
      </c>
      <c r="K60" s="1472">
        <f t="shared" si="8"/>
        <v>12</v>
      </c>
      <c r="L60" s="293"/>
      <c r="N60" s="289"/>
    </row>
    <row r="61" spans="2:14" ht="14.4" thickBot="1" x14ac:dyDescent="0.35">
      <c r="B61" s="685">
        <v>1.7</v>
      </c>
      <c r="C61" s="390" t="s">
        <v>144</v>
      </c>
      <c r="D61" s="319" t="s">
        <v>10</v>
      </c>
      <c r="E61" s="332">
        <f>'16. APP UIIDP'!D199</f>
        <v>35</v>
      </c>
      <c r="F61" s="932">
        <v>7</v>
      </c>
      <c r="G61" s="932">
        <v>5</v>
      </c>
      <c r="H61" s="932">
        <v>6</v>
      </c>
      <c r="I61" s="932">
        <v>5</v>
      </c>
      <c r="J61" s="932">
        <f t="shared" si="7"/>
        <v>13</v>
      </c>
      <c r="K61" s="1472">
        <f t="shared" si="8"/>
        <v>10</v>
      </c>
      <c r="L61" s="293"/>
      <c r="N61" s="289"/>
    </row>
    <row r="62" spans="2:14" ht="14.4" thickBot="1" x14ac:dyDescent="0.35">
      <c r="B62" s="686"/>
      <c r="C62" s="345" t="s">
        <v>290</v>
      </c>
      <c r="D62" s="345"/>
      <c r="E62" s="687">
        <f>SUM(E55:E61)</f>
        <v>4200</v>
      </c>
      <c r="F62" s="1473">
        <f t="shared" ref="F62:K62" si="9">SUM(F55:F61)</f>
        <v>92</v>
      </c>
      <c r="G62" s="1473">
        <f t="shared" si="9"/>
        <v>62</v>
      </c>
      <c r="H62" s="1473">
        <f t="shared" si="9"/>
        <v>77</v>
      </c>
      <c r="I62" s="1473">
        <f t="shared" si="9"/>
        <v>59</v>
      </c>
      <c r="J62" s="1473">
        <f t="shared" si="9"/>
        <v>169</v>
      </c>
      <c r="K62" s="1473">
        <f t="shared" si="9"/>
        <v>121</v>
      </c>
      <c r="L62" s="293"/>
      <c r="M62" s="289">
        <v>169</v>
      </c>
      <c r="N62" s="290">
        <v>121</v>
      </c>
    </row>
    <row r="63" spans="2:14" ht="14.4" thickBot="1" x14ac:dyDescent="0.35">
      <c r="B63" s="696">
        <v>1.3</v>
      </c>
      <c r="C63" s="330" t="s">
        <v>541</v>
      </c>
      <c r="D63" s="330"/>
      <c r="E63" s="331"/>
      <c r="F63" s="331"/>
      <c r="G63" s="331"/>
      <c r="H63" s="331"/>
      <c r="I63" s="330"/>
      <c r="J63" s="330"/>
      <c r="K63" s="330"/>
      <c r="L63" s="293"/>
    </row>
    <row r="64" spans="2:14" ht="14.4" thickBot="1" x14ac:dyDescent="0.35">
      <c r="B64" s="307" t="s">
        <v>181</v>
      </c>
      <c r="C64" s="308" t="s">
        <v>533</v>
      </c>
      <c r="D64" s="319" t="s">
        <v>3</v>
      </c>
      <c r="E64" s="1081">
        <v>1</v>
      </c>
      <c r="F64" s="932">
        <v>10</v>
      </c>
      <c r="G64" s="932">
        <v>6</v>
      </c>
      <c r="H64" s="932">
        <v>8</v>
      </c>
      <c r="I64" s="932">
        <v>6</v>
      </c>
      <c r="J64" s="932">
        <f t="shared" ref="J64:K66" si="10">F64+H64</f>
        <v>18</v>
      </c>
      <c r="K64" s="932">
        <f t="shared" si="10"/>
        <v>12</v>
      </c>
      <c r="L64" s="293"/>
    </row>
    <row r="65" spans="2:14" ht="14.4" thickBot="1" x14ac:dyDescent="0.35">
      <c r="B65" s="307" t="s">
        <v>182</v>
      </c>
      <c r="C65" s="308" t="s">
        <v>534</v>
      </c>
      <c r="D65" s="319" t="s">
        <v>3</v>
      </c>
      <c r="E65" s="1081">
        <v>1</v>
      </c>
      <c r="F65" s="932">
        <v>6</v>
      </c>
      <c r="G65" s="932">
        <v>5</v>
      </c>
      <c r="H65" s="932">
        <v>6</v>
      </c>
      <c r="I65" s="932">
        <v>4</v>
      </c>
      <c r="J65" s="932">
        <f t="shared" si="10"/>
        <v>12</v>
      </c>
      <c r="K65" s="932">
        <f t="shared" si="10"/>
        <v>9</v>
      </c>
      <c r="L65" s="293"/>
    </row>
    <row r="66" spans="2:14" ht="14.4" thickBot="1" x14ac:dyDescent="0.35">
      <c r="B66" s="307" t="s">
        <v>531</v>
      </c>
      <c r="C66" s="308" t="s">
        <v>538</v>
      </c>
      <c r="D66" s="319" t="s">
        <v>3</v>
      </c>
      <c r="E66" s="1081">
        <v>1</v>
      </c>
      <c r="F66" s="932">
        <v>55</v>
      </c>
      <c r="G66" s="932">
        <v>45</v>
      </c>
      <c r="H66" s="932">
        <v>51</v>
      </c>
      <c r="I66" s="932">
        <v>35</v>
      </c>
      <c r="J66" s="932">
        <f t="shared" si="10"/>
        <v>106</v>
      </c>
      <c r="K66" s="932">
        <f t="shared" si="10"/>
        <v>80</v>
      </c>
      <c r="L66" s="293"/>
    </row>
    <row r="67" spans="2:14" ht="14.4" thickBot="1" x14ac:dyDescent="0.35">
      <c r="B67" s="329"/>
      <c r="C67" s="330" t="s">
        <v>542</v>
      </c>
      <c r="D67" s="330"/>
      <c r="E67" s="331">
        <f>E64+E65+E66</f>
        <v>3</v>
      </c>
      <c r="F67" s="1474">
        <f t="shared" ref="F67:K67" si="11">F64+F65+F66</f>
        <v>71</v>
      </c>
      <c r="G67" s="1474">
        <f t="shared" si="11"/>
        <v>56</v>
      </c>
      <c r="H67" s="1474">
        <f t="shared" si="11"/>
        <v>65</v>
      </c>
      <c r="I67" s="1474">
        <f t="shared" si="11"/>
        <v>45</v>
      </c>
      <c r="J67" s="1474">
        <f t="shared" si="11"/>
        <v>136</v>
      </c>
      <c r="K67" s="1474">
        <f t="shared" si="11"/>
        <v>101</v>
      </c>
      <c r="L67" s="293"/>
      <c r="M67" s="289">
        <v>105</v>
      </c>
      <c r="N67" s="289">
        <v>77</v>
      </c>
    </row>
    <row r="68" spans="2:14" ht="14.4" thickBot="1" x14ac:dyDescent="0.35">
      <c r="B68" s="329">
        <v>1.4</v>
      </c>
      <c r="C68" s="330" t="s">
        <v>543</v>
      </c>
      <c r="D68" s="330"/>
      <c r="E68" s="331"/>
      <c r="F68" s="331"/>
      <c r="G68" s="331"/>
      <c r="H68" s="331"/>
      <c r="I68" s="330"/>
      <c r="J68" s="330"/>
      <c r="K68" s="330"/>
      <c r="L68" s="293"/>
      <c r="N68" s="289"/>
    </row>
    <row r="69" spans="2:14" ht="14.4" thickBot="1" x14ac:dyDescent="0.35">
      <c r="B69" s="307" t="s">
        <v>184</v>
      </c>
      <c r="C69" s="308" t="s">
        <v>540</v>
      </c>
      <c r="D69" s="319">
        <v>1</v>
      </c>
      <c r="E69" s="320">
        <v>1</v>
      </c>
      <c r="F69" s="932">
        <v>65</v>
      </c>
      <c r="G69" s="932">
        <v>55</v>
      </c>
      <c r="H69" s="932">
        <v>50</v>
      </c>
      <c r="I69" s="932">
        <v>45</v>
      </c>
      <c r="J69" s="932">
        <f>F69+H69</f>
        <v>115</v>
      </c>
      <c r="K69" s="932">
        <f>G69+I69</f>
        <v>100</v>
      </c>
      <c r="L69" s="293"/>
      <c r="N69" s="289"/>
    </row>
    <row r="70" spans="2:14" ht="14.4" thickBot="1" x14ac:dyDescent="0.35">
      <c r="B70" s="329"/>
      <c r="C70" s="330" t="s">
        <v>407</v>
      </c>
      <c r="D70" s="334">
        <f>D69</f>
        <v>1</v>
      </c>
      <c r="E70" s="331">
        <f>E69</f>
        <v>1</v>
      </c>
      <c r="F70" s="1474">
        <f t="shared" ref="F70:K70" si="12">F69</f>
        <v>65</v>
      </c>
      <c r="G70" s="1474">
        <f t="shared" si="12"/>
        <v>55</v>
      </c>
      <c r="H70" s="1474">
        <f t="shared" si="12"/>
        <v>50</v>
      </c>
      <c r="I70" s="1474">
        <f t="shared" si="12"/>
        <v>45</v>
      </c>
      <c r="J70" s="1474">
        <f t="shared" si="12"/>
        <v>115</v>
      </c>
      <c r="K70" s="1474">
        <f t="shared" si="12"/>
        <v>100</v>
      </c>
      <c r="L70" s="293"/>
      <c r="M70" s="289">
        <v>115</v>
      </c>
      <c r="N70" s="289">
        <v>100</v>
      </c>
    </row>
    <row r="71" spans="2:14" ht="14.4" thickBot="1" x14ac:dyDescent="0.35">
      <c r="B71" s="341"/>
      <c r="C71" s="341" t="s">
        <v>317</v>
      </c>
      <c r="D71" s="341"/>
      <c r="E71" s="341"/>
      <c r="F71" s="1476">
        <f>F62+F67+F70</f>
        <v>228</v>
      </c>
      <c r="G71" s="1476">
        <f t="shared" ref="G71:K71" si="13">G62+G67+G70</f>
        <v>173</v>
      </c>
      <c r="H71" s="1476">
        <f t="shared" si="13"/>
        <v>192</v>
      </c>
      <c r="I71" s="1476">
        <f t="shared" si="13"/>
        <v>149</v>
      </c>
      <c r="J71" s="1476">
        <f t="shared" si="13"/>
        <v>420</v>
      </c>
      <c r="K71" s="1476">
        <f t="shared" si="13"/>
        <v>322</v>
      </c>
      <c r="L71" s="293"/>
      <c r="N71" s="289"/>
    </row>
    <row r="72" spans="2:14" s="693" customFormat="1" ht="14.4" thickBot="1" x14ac:dyDescent="0.35">
      <c r="B72" s="1477"/>
      <c r="C72" s="1478" t="s">
        <v>318</v>
      </c>
      <c r="D72" s="1373"/>
      <c r="E72" s="1479"/>
      <c r="F72" s="1480">
        <f>F52+F71</f>
        <v>1108</v>
      </c>
      <c r="G72" s="1480">
        <f t="shared" ref="G72:K72" si="14">G52+G71</f>
        <v>677</v>
      </c>
      <c r="H72" s="1480">
        <f t="shared" si="14"/>
        <v>905</v>
      </c>
      <c r="I72" s="1480">
        <f t="shared" si="14"/>
        <v>586</v>
      </c>
      <c r="J72" s="1480">
        <f t="shared" si="14"/>
        <v>2013</v>
      </c>
      <c r="K72" s="1480">
        <f t="shared" si="14"/>
        <v>1263</v>
      </c>
      <c r="L72" s="692"/>
    </row>
    <row r="73" spans="2:14" ht="16.2" thickBot="1" x14ac:dyDescent="0.35">
      <c r="B73" s="360" t="s">
        <v>2</v>
      </c>
      <c r="C73" s="361" t="s">
        <v>162</v>
      </c>
      <c r="D73" s="362"/>
      <c r="E73" s="363"/>
      <c r="F73" s="364"/>
      <c r="G73" s="364"/>
      <c r="H73" s="364"/>
      <c r="I73" s="365"/>
      <c r="J73" s="365"/>
      <c r="K73" s="365"/>
      <c r="L73" s="293"/>
      <c r="N73" s="289"/>
    </row>
    <row r="74" spans="2:14" ht="15.6" x14ac:dyDescent="0.3">
      <c r="B74" s="1083"/>
      <c r="C74" s="1084" t="s">
        <v>319</v>
      </c>
      <c r="D74" s="1085"/>
      <c r="E74" s="1086"/>
      <c r="F74" s="1087"/>
      <c r="G74" s="1087"/>
      <c r="H74" s="1087"/>
      <c r="I74" s="1088"/>
      <c r="J74" s="1088"/>
      <c r="K74" s="1088"/>
      <c r="L74" s="293"/>
      <c r="N74" s="289"/>
    </row>
    <row r="75" spans="2:14" s="1089" customFormat="1" ht="15.6" x14ac:dyDescent="0.3">
      <c r="B75" s="689"/>
      <c r="C75" s="1090"/>
      <c r="D75" s="1091"/>
      <c r="E75" s="1092"/>
      <c r="F75" s="1093"/>
      <c r="G75" s="1093"/>
      <c r="H75" s="1093"/>
      <c r="I75" s="1094"/>
      <c r="J75" s="1094"/>
      <c r="K75" s="1094"/>
      <c r="L75" s="1095"/>
    </row>
    <row r="76" spans="2:14" ht="15.6" x14ac:dyDescent="0.3">
      <c r="B76" s="1083"/>
      <c r="C76" s="1084" t="s">
        <v>701</v>
      </c>
      <c r="D76" s="1085"/>
      <c r="E76" s="1086">
        <v>0</v>
      </c>
      <c r="F76" s="1086"/>
      <c r="G76" s="1086"/>
      <c r="H76" s="1086"/>
      <c r="I76" s="1086"/>
      <c r="J76" s="1086"/>
      <c r="K76" s="1086"/>
      <c r="L76" s="293"/>
      <c r="N76" s="289"/>
    </row>
    <row r="77" spans="2:14" ht="15.6" x14ac:dyDescent="0.3">
      <c r="B77" s="1083"/>
      <c r="C77" s="1084" t="s">
        <v>700</v>
      </c>
      <c r="D77" s="1085"/>
      <c r="E77" s="1086"/>
      <c r="F77" s="1087"/>
      <c r="G77" s="1087"/>
      <c r="H77" s="1087"/>
      <c r="I77" s="1088"/>
      <c r="J77" s="1088"/>
      <c r="K77" s="1088"/>
      <c r="L77" s="293"/>
      <c r="N77" s="289"/>
    </row>
    <row r="78" spans="2:14" s="1089" customFormat="1" ht="16.2" thickBot="1" x14ac:dyDescent="0.35">
      <c r="B78" s="689" t="s">
        <v>185</v>
      </c>
      <c r="C78" s="1090" t="s">
        <v>408</v>
      </c>
      <c r="D78" s="1091" t="s">
        <v>3</v>
      </c>
      <c r="E78" s="1092">
        <v>1</v>
      </c>
      <c r="F78" s="1469">
        <v>3</v>
      </c>
      <c r="G78" s="1469">
        <v>2</v>
      </c>
      <c r="H78" s="1469">
        <v>3</v>
      </c>
      <c r="I78" s="1470">
        <v>2</v>
      </c>
      <c r="J78" s="956">
        <f>F78+H78</f>
        <v>6</v>
      </c>
      <c r="K78" s="956">
        <f>G78+I78</f>
        <v>4</v>
      </c>
      <c r="L78" s="1095"/>
    </row>
    <row r="79" spans="2:14" ht="16.2" thickBot="1" x14ac:dyDescent="0.35">
      <c r="B79" s="367"/>
      <c r="C79" s="1084" t="s">
        <v>783</v>
      </c>
      <c r="D79" s="367"/>
      <c r="E79" s="368">
        <f>E78</f>
        <v>1</v>
      </c>
      <c r="F79" s="1481">
        <f>F78</f>
        <v>3</v>
      </c>
      <c r="G79" s="1481">
        <f t="shared" ref="G79:K80" si="15">G78</f>
        <v>2</v>
      </c>
      <c r="H79" s="1481">
        <f t="shared" si="15"/>
        <v>3</v>
      </c>
      <c r="I79" s="1481">
        <f t="shared" si="15"/>
        <v>2</v>
      </c>
      <c r="J79" s="1481">
        <f t="shared" si="15"/>
        <v>6</v>
      </c>
      <c r="K79" s="1481">
        <f t="shared" si="15"/>
        <v>4</v>
      </c>
      <c r="L79" s="293"/>
      <c r="M79" s="289">
        <v>6</v>
      </c>
      <c r="N79" s="289">
        <v>4</v>
      </c>
    </row>
    <row r="80" spans="2:14" ht="15.6" x14ac:dyDescent="0.3">
      <c r="B80" s="369"/>
      <c r="C80" s="369" t="s">
        <v>320</v>
      </c>
      <c r="D80" s="369"/>
      <c r="E80" s="369">
        <f>E79+E76</f>
        <v>1</v>
      </c>
      <c r="F80" s="1482">
        <f>F79</f>
        <v>3</v>
      </c>
      <c r="G80" s="1482">
        <f t="shared" si="15"/>
        <v>2</v>
      </c>
      <c r="H80" s="1482">
        <f t="shared" si="15"/>
        <v>3</v>
      </c>
      <c r="I80" s="1482">
        <f t="shared" si="15"/>
        <v>2</v>
      </c>
      <c r="J80" s="1482">
        <f t="shared" si="15"/>
        <v>6</v>
      </c>
      <c r="K80" s="1482">
        <f t="shared" si="15"/>
        <v>4</v>
      </c>
      <c r="L80" s="293"/>
      <c r="N80" s="289"/>
    </row>
    <row r="81" spans="2:14" ht="15.6" x14ac:dyDescent="0.3">
      <c r="B81" s="698" t="s">
        <v>165</v>
      </c>
      <c r="C81" s="698" t="s">
        <v>143</v>
      </c>
      <c r="D81" s="698"/>
      <c r="E81" s="698"/>
      <c r="F81" s="698"/>
      <c r="G81" s="698"/>
      <c r="H81" s="698"/>
      <c r="I81" s="698"/>
      <c r="J81" s="698"/>
      <c r="K81" s="698"/>
      <c r="L81" s="293"/>
      <c r="N81" s="289"/>
    </row>
    <row r="82" spans="2:14" ht="15.6" x14ac:dyDescent="0.3">
      <c r="B82" s="699"/>
      <c r="C82" s="699" t="s">
        <v>546</v>
      </c>
      <c r="D82" s="699"/>
      <c r="E82" s="699"/>
      <c r="F82" s="699"/>
      <c r="G82" s="699"/>
      <c r="H82" s="699"/>
      <c r="I82" s="699"/>
      <c r="J82" s="699"/>
      <c r="K82" s="699"/>
      <c r="L82" s="293"/>
      <c r="N82" s="289"/>
    </row>
    <row r="83" spans="2:14" ht="15.6" x14ac:dyDescent="0.3">
      <c r="B83" s="700"/>
      <c r="C83" s="700" t="s">
        <v>514</v>
      </c>
      <c r="D83" s="700"/>
      <c r="E83" s="700"/>
      <c r="F83" s="700"/>
      <c r="G83" s="700"/>
      <c r="H83" s="700"/>
      <c r="I83" s="700"/>
      <c r="J83" s="700"/>
      <c r="K83" s="700"/>
      <c r="L83" s="293"/>
      <c r="N83" s="289"/>
    </row>
    <row r="84" spans="2:14" ht="20.399999999999999" customHeight="1" thickBot="1" x14ac:dyDescent="0.35">
      <c r="B84" s="701">
        <v>1.1000000000000001</v>
      </c>
      <c r="C84" s="1408" t="s">
        <v>749</v>
      </c>
      <c r="D84" s="703" t="s">
        <v>3</v>
      </c>
      <c r="E84" s="702">
        <v>2</v>
      </c>
      <c r="F84" s="932">
        <v>10</v>
      </c>
      <c r="G84" s="932">
        <v>6</v>
      </c>
      <c r="H84" s="932">
        <v>8</v>
      </c>
      <c r="I84" s="932">
        <v>6</v>
      </c>
      <c r="J84" s="936">
        <f>F84+H84</f>
        <v>18</v>
      </c>
      <c r="K84" s="936">
        <f>G84+I84</f>
        <v>12</v>
      </c>
      <c r="L84" s="293"/>
    </row>
    <row r="85" spans="2:14" ht="15.6" x14ac:dyDescent="0.3">
      <c r="B85" s="369"/>
      <c r="C85" s="369" t="s">
        <v>547</v>
      </c>
      <c r="D85" s="369"/>
      <c r="E85" s="369">
        <f>E84</f>
        <v>2</v>
      </c>
      <c r="F85" s="1482">
        <f>F84</f>
        <v>10</v>
      </c>
      <c r="G85" s="1482">
        <f t="shared" ref="G85:K85" si="16">G84</f>
        <v>6</v>
      </c>
      <c r="H85" s="1482">
        <f t="shared" si="16"/>
        <v>8</v>
      </c>
      <c r="I85" s="1482">
        <f t="shared" si="16"/>
        <v>6</v>
      </c>
      <c r="J85" s="1482">
        <f t="shared" si="16"/>
        <v>18</v>
      </c>
      <c r="K85" s="1482">
        <f t="shared" si="16"/>
        <v>12</v>
      </c>
      <c r="L85" s="293"/>
      <c r="M85" s="289">
        <v>18</v>
      </c>
      <c r="N85" s="290">
        <v>12</v>
      </c>
    </row>
    <row r="86" spans="2:14" ht="15.6" x14ac:dyDescent="0.3">
      <c r="B86" s="699"/>
      <c r="C86" s="699" t="s">
        <v>790</v>
      </c>
      <c r="D86" s="699"/>
      <c r="E86" s="699"/>
      <c r="F86" s="1426"/>
      <c r="G86" s="1426"/>
      <c r="H86" s="1426"/>
      <c r="I86" s="699"/>
      <c r="J86" s="699"/>
      <c r="K86" s="699"/>
      <c r="L86" s="293"/>
    </row>
    <row r="87" spans="2:14" s="693" customFormat="1" ht="27" thickBot="1" x14ac:dyDescent="0.35">
      <c r="B87" s="700"/>
      <c r="C87" s="1422" t="s">
        <v>751</v>
      </c>
      <c r="D87" s="703" t="s">
        <v>3</v>
      </c>
      <c r="E87" s="700">
        <v>1</v>
      </c>
      <c r="F87" s="932">
        <v>15</v>
      </c>
      <c r="G87" s="932">
        <v>13</v>
      </c>
      <c r="H87" s="932">
        <v>14</v>
      </c>
      <c r="I87" s="932">
        <v>12</v>
      </c>
      <c r="J87" s="935">
        <f>F87+H87</f>
        <v>29</v>
      </c>
      <c r="K87" s="935">
        <f>G87+I87</f>
        <v>25</v>
      </c>
      <c r="L87" s="692"/>
      <c r="N87" s="920"/>
    </row>
    <row r="88" spans="2:14" ht="15.6" x14ac:dyDescent="0.3">
      <c r="B88" s="369"/>
      <c r="C88" s="369" t="s">
        <v>791</v>
      </c>
      <c r="D88" s="369"/>
      <c r="E88" s="369">
        <f>E87</f>
        <v>1</v>
      </c>
      <c r="F88" s="1482">
        <f>F87</f>
        <v>15</v>
      </c>
      <c r="G88" s="1482">
        <f t="shared" ref="G88:K88" si="17">G87</f>
        <v>13</v>
      </c>
      <c r="H88" s="1482">
        <f t="shared" si="17"/>
        <v>14</v>
      </c>
      <c r="I88" s="1482">
        <f t="shared" si="17"/>
        <v>12</v>
      </c>
      <c r="J88" s="1482">
        <f t="shared" si="17"/>
        <v>29</v>
      </c>
      <c r="K88" s="1482">
        <f t="shared" si="17"/>
        <v>25</v>
      </c>
      <c r="L88" s="293"/>
      <c r="M88" s="289">
        <v>29</v>
      </c>
      <c r="N88" s="290">
        <v>25</v>
      </c>
    </row>
    <row r="89" spans="2:14" s="1353" customFormat="1" ht="15.6" x14ac:dyDescent="0.3">
      <c r="B89" s="370"/>
      <c r="C89" s="370" t="s">
        <v>329</v>
      </c>
      <c r="D89" s="370"/>
      <c r="E89" s="370"/>
      <c r="F89" s="1483">
        <f>F72+F80+F85+F88</f>
        <v>1136</v>
      </c>
      <c r="G89" s="1483">
        <f t="shared" ref="G89:K89" si="18">G72+G80+G85+G88</f>
        <v>698</v>
      </c>
      <c r="H89" s="1483">
        <f t="shared" si="18"/>
        <v>930</v>
      </c>
      <c r="I89" s="1483">
        <f t="shared" si="18"/>
        <v>606</v>
      </c>
      <c r="J89" s="1483">
        <f t="shared" si="18"/>
        <v>2066</v>
      </c>
      <c r="K89" s="1483">
        <f t="shared" si="18"/>
        <v>1304</v>
      </c>
      <c r="L89" s="1358"/>
      <c r="N89" s="1421"/>
    </row>
    <row r="90" spans="2:14" ht="15.6" x14ac:dyDescent="0.3">
      <c r="B90" s="371"/>
      <c r="C90" s="2056" t="s">
        <v>330</v>
      </c>
      <c r="D90" s="2057"/>
      <c r="E90" s="2057"/>
      <c r="F90" s="372"/>
      <c r="G90" s="372"/>
      <c r="H90" s="372"/>
      <c r="I90" s="372"/>
      <c r="J90" s="372"/>
      <c r="K90" s="372"/>
      <c r="L90" s="293"/>
    </row>
    <row r="91" spans="2:14" x14ac:dyDescent="0.3">
      <c r="B91" s="373" t="s">
        <v>161</v>
      </c>
      <c r="C91" s="335" t="s">
        <v>321</v>
      </c>
      <c r="D91" s="374"/>
      <c r="E91" s="375"/>
      <c r="F91" s="376"/>
      <c r="G91" s="376"/>
      <c r="H91" s="376"/>
      <c r="I91" s="377"/>
      <c r="J91" s="377"/>
      <c r="K91" s="377"/>
      <c r="L91" s="293"/>
    </row>
    <row r="92" spans="2:14" ht="14.4" thickBot="1" x14ac:dyDescent="0.35">
      <c r="B92" s="378">
        <v>1.2</v>
      </c>
      <c r="C92" s="379" t="s">
        <v>280</v>
      </c>
      <c r="D92" s="380"/>
      <c r="E92" s="381"/>
      <c r="F92" s="382"/>
      <c r="G92" s="382"/>
      <c r="H92" s="382"/>
      <c r="I92" s="383"/>
      <c r="J92" s="383"/>
      <c r="K92" s="383"/>
      <c r="L92" s="293"/>
    </row>
    <row r="93" spans="2:14" ht="29.4" thickBot="1" x14ac:dyDescent="0.35">
      <c r="B93" s="307" t="s">
        <v>178</v>
      </c>
      <c r="C93" s="1409" t="s">
        <v>733</v>
      </c>
      <c r="D93" s="319" t="s">
        <v>239</v>
      </c>
      <c r="E93" s="310">
        <f>'16. APP UIIDP'!D106</f>
        <v>412</v>
      </c>
      <c r="F93" s="932">
        <v>23</v>
      </c>
      <c r="G93" s="932">
        <v>16</v>
      </c>
      <c r="H93" s="932">
        <v>17</v>
      </c>
      <c r="I93" s="932">
        <v>12</v>
      </c>
      <c r="J93" s="932">
        <f>F93+H93</f>
        <v>40</v>
      </c>
      <c r="K93" s="932">
        <f>G93+I93</f>
        <v>28</v>
      </c>
      <c r="L93" s="293"/>
    </row>
    <row r="94" spans="2:14" ht="15" thickBot="1" x14ac:dyDescent="0.35">
      <c r="B94" s="307" t="s">
        <v>179</v>
      </c>
      <c r="C94" s="1410" t="s">
        <v>734</v>
      </c>
      <c r="D94" s="319" t="s">
        <v>239</v>
      </c>
      <c r="E94" s="310">
        <f>'16. APP UIIDP'!D109</f>
        <v>280</v>
      </c>
      <c r="F94" s="932">
        <v>20</v>
      </c>
      <c r="G94" s="932">
        <v>14</v>
      </c>
      <c r="H94" s="932">
        <v>14</v>
      </c>
      <c r="I94" s="932">
        <v>10</v>
      </c>
      <c r="J94" s="932">
        <f t="shared" ref="J94:J104" si="19">F94+H94</f>
        <v>34</v>
      </c>
      <c r="K94" s="932">
        <f t="shared" ref="K94:K104" si="20">G94+I94</f>
        <v>24</v>
      </c>
      <c r="L94" s="293"/>
    </row>
    <row r="95" spans="2:14" ht="15" thickBot="1" x14ac:dyDescent="0.35">
      <c r="B95" s="307" t="s">
        <v>281</v>
      </c>
      <c r="C95" s="1410" t="s">
        <v>735</v>
      </c>
      <c r="D95" s="319" t="s">
        <v>239</v>
      </c>
      <c r="E95" s="310">
        <f>'16. APP UIIDP'!D112</f>
        <v>134</v>
      </c>
      <c r="F95" s="932">
        <v>16</v>
      </c>
      <c r="G95" s="932">
        <v>12</v>
      </c>
      <c r="H95" s="932">
        <v>13</v>
      </c>
      <c r="I95" s="932">
        <v>8</v>
      </c>
      <c r="J95" s="932">
        <f t="shared" si="19"/>
        <v>29</v>
      </c>
      <c r="K95" s="932">
        <f t="shared" si="20"/>
        <v>20</v>
      </c>
      <c r="L95" s="293"/>
    </row>
    <row r="96" spans="2:14" ht="15" thickBot="1" x14ac:dyDescent="0.35">
      <c r="B96" s="307" t="s">
        <v>596</v>
      </c>
      <c r="C96" s="1410" t="s">
        <v>736</v>
      </c>
      <c r="D96" s="319" t="s">
        <v>239</v>
      </c>
      <c r="E96" s="310">
        <f>'16. APP UIIDP'!D115</f>
        <v>170</v>
      </c>
      <c r="F96" s="932">
        <v>17</v>
      </c>
      <c r="G96" s="932">
        <v>12</v>
      </c>
      <c r="H96" s="932">
        <v>14</v>
      </c>
      <c r="I96" s="932">
        <v>9</v>
      </c>
      <c r="J96" s="932">
        <f t="shared" si="19"/>
        <v>31</v>
      </c>
      <c r="K96" s="932">
        <f t="shared" si="20"/>
        <v>21</v>
      </c>
      <c r="L96" s="293"/>
    </row>
    <row r="97" spans="2:14" ht="15" thickBot="1" x14ac:dyDescent="0.35">
      <c r="B97" s="307" t="s">
        <v>767</v>
      </c>
      <c r="C97" s="1410" t="s">
        <v>737</v>
      </c>
      <c r="D97" s="319" t="s">
        <v>239</v>
      </c>
      <c r="E97" s="310">
        <f>'16. APP UIIDP'!D118</f>
        <v>310</v>
      </c>
      <c r="F97" s="932">
        <v>20</v>
      </c>
      <c r="G97" s="932">
        <v>15</v>
      </c>
      <c r="H97" s="932">
        <v>17</v>
      </c>
      <c r="I97" s="932">
        <v>12</v>
      </c>
      <c r="J97" s="932">
        <f t="shared" si="19"/>
        <v>37</v>
      </c>
      <c r="K97" s="932">
        <f t="shared" si="20"/>
        <v>27</v>
      </c>
      <c r="L97" s="293"/>
    </row>
    <row r="98" spans="2:14" ht="29.4" thickBot="1" x14ac:dyDescent="0.35">
      <c r="B98" s="307" t="s">
        <v>768</v>
      </c>
      <c r="C98" s="1410" t="s">
        <v>738</v>
      </c>
      <c r="D98" s="319" t="s">
        <v>239</v>
      </c>
      <c r="E98" s="310">
        <f>'16. APP UIIDP'!D121</f>
        <v>350</v>
      </c>
      <c r="F98" s="932">
        <v>20</v>
      </c>
      <c r="G98" s="932">
        <v>15</v>
      </c>
      <c r="H98" s="932">
        <v>17</v>
      </c>
      <c r="I98" s="932">
        <v>12</v>
      </c>
      <c r="J98" s="932">
        <f t="shared" si="19"/>
        <v>37</v>
      </c>
      <c r="K98" s="932">
        <f t="shared" si="20"/>
        <v>27</v>
      </c>
      <c r="L98" s="293"/>
    </row>
    <row r="99" spans="2:14" ht="15" thickBot="1" x14ac:dyDescent="0.35">
      <c r="B99" s="307" t="s">
        <v>769</v>
      </c>
      <c r="C99" s="1410" t="s">
        <v>739</v>
      </c>
      <c r="D99" s="319" t="s">
        <v>239</v>
      </c>
      <c r="E99" s="310">
        <f>'16. APP UIIDP'!D124</f>
        <v>130</v>
      </c>
      <c r="F99" s="932">
        <v>17</v>
      </c>
      <c r="G99" s="932">
        <v>12</v>
      </c>
      <c r="H99" s="932">
        <v>13</v>
      </c>
      <c r="I99" s="932">
        <v>8</v>
      </c>
      <c r="J99" s="932">
        <f t="shared" si="19"/>
        <v>30</v>
      </c>
      <c r="K99" s="932">
        <f t="shared" si="20"/>
        <v>20</v>
      </c>
      <c r="L99" s="293"/>
    </row>
    <row r="100" spans="2:14" ht="15" thickBot="1" x14ac:dyDescent="0.35">
      <c r="B100" s="307" t="s">
        <v>770</v>
      </c>
      <c r="C100" s="1410" t="s">
        <v>740</v>
      </c>
      <c r="D100" s="319" t="s">
        <v>239</v>
      </c>
      <c r="E100" s="310">
        <f>'16. APP UIIDP'!D127</f>
        <v>220</v>
      </c>
      <c r="F100" s="932">
        <v>17</v>
      </c>
      <c r="G100" s="932">
        <v>12</v>
      </c>
      <c r="H100" s="932">
        <v>14</v>
      </c>
      <c r="I100" s="932">
        <v>9</v>
      </c>
      <c r="J100" s="932">
        <f t="shared" si="19"/>
        <v>31</v>
      </c>
      <c r="K100" s="932">
        <f t="shared" si="20"/>
        <v>21</v>
      </c>
      <c r="L100" s="293"/>
    </row>
    <row r="101" spans="2:14" ht="15" thickBot="1" x14ac:dyDescent="0.35">
      <c r="B101" s="307" t="s">
        <v>771</v>
      </c>
      <c r="C101" s="1410" t="s">
        <v>741</v>
      </c>
      <c r="D101" s="319" t="s">
        <v>239</v>
      </c>
      <c r="E101" s="310">
        <f>'16. APP UIIDP'!D130</f>
        <v>220</v>
      </c>
      <c r="F101" s="932">
        <v>17</v>
      </c>
      <c r="G101" s="932">
        <v>12</v>
      </c>
      <c r="H101" s="932">
        <v>14</v>
      </c>
      <c r="I101" s="932">
        <v>9</v>
      </c>
      <c r="J101" s="932">
        <f t="shared" si="19"/>
        <v>31</v>
      </c>
      <c r="K101" s="932">
        <f t="shared" si="20"/>
        <v>21</v>
      </c>
      <c r="L101" s="293"/>
    </row>
    <row r="102" spans="2:14" ht="29.4" thickBot="1" x14ac:dyDescent="0.35">
      <c r="B102" s="307" t="s">
        <v>772</v>
      </c>
      <c r="C102" s="1410" t="s">
        <v>742</v>
      </c>
      <c r="D102" s="319" t="s">
        <v>239</v>
      </c>
      <c r="E102" s="310">
        <f>'16. APP UIIDP'!D133</f>
        <v>480</v>
      </c>
      <c r="F102" s="932">
        <v>25</v>
      </c>
      <c r="G102" s="932">
        <v>16</v>
      </c>
      <c r="H102" s="932">
        <v>19</v>
      </c>
      <c r="I102" s="932">
        <v>12</v>
      </c>
      <c r="J102" s="932">
        <f t="shared" si="19"/>
        <v>44</v>
      </c>
      <c r="K102" s="932">
        <f t="shared" si="20"/>
        <v>28</v>
      </c>
      <c r="L102" s="293"/>
    </row>
    <row r="103" spans="2:14" ht="15" thickBot="1" x14ac:dyDescent="0.35">
      <c r="B103" s="307" t="s">
        <v>773</v>
      </c>
      <c r="C103" s="1411" t="s">
        <v>820</v>
      </c>
      <c r="D103" s="319" t="s">
        <v>574</v>
      </c>
      <c r="E103" s="310">
        <f>'16. APP UIIDP'!D136</f>
        <v>305</v>
      </c>
      <c r="F103" s="932">
        <v>21</v>
      </c>
      <c r="G103" s="932">
        <v>15</v>
      </c>
      <c r="H103" s="932">
        <v>17</v>
      </c>
      <c r="I103" s="932">
        <v>12</v>
      </c>
      <c r="J103" s="932">
        <f t="shared" si="19"/>
        <v>38</v>
      </c>
      <c r="K103" s="932">
        <f t="shared" si="20"/>
        <v>27</v>
      </c>
      <c r="L103" s="293"/>
    </row>
    <row r="104" spans="2:14" ht="15" thickBot="1" x14ac:dyDescent="0.35">
      <c r="B104" s="307" t="s">
        <v>877</v>
      </c>
      <c r="C104" s="1411" t="s">
        <v>743</v>
      </c>
      <c r="D104" s="319" t="s">
        <v>239</v>
      </c>
      <c r="E104" s="310">
        <f>'16. APP UIIDP'!D139</f>
        <v>300</v>
      </c>
      <c r="F104" s="932">
        <v>21</v>
      </c>
      <c r="G104" s="932">
        <v>15</v>
      </c>
      <c r="H104" s="932">
        <v>17</v>
      </c>
      <c r="I104" s="932">
        <v>12</v>
      </c>
      <c r="J104" s="932">
        <f t="shared" si="19"/>
        <v>38</v>
      </c>
      <c r="K104" s="932">
        <f t="shared" si="20"/>
        <v>27</v>
      </c>
      <c r="L104" s="293"/>
    </row>
    <row r="105" spans="2:14" s="318" customFormat="1" ht="14.4" thickBot="1" x14ac:dyDescent="0.35">
      <c r="B105" s="385"/>
      <c r="C105" s="379" t="s">
        <v>140</v>
      </c>
      <c r="D105" s="380"/>
      <c r="E105" s="381">
        <f>SUM(E93:E104)</f>
        <v>3311</v>
      </c>
      <c r="F105" s="1484">
        <f>SUM(F93:F104)</f>
        <v>234</v>
      </c>
      <c r="G105" s="1484">
        <f t="shared" ref="G105:K105" si="21">SUM(G93:G104)</f>
        <v>166</v>
      </c>
      <c r="H105" s="1484">
        <f t="shared" si="21"/>
        <v>186</v>
      </c>
      <c r="I105" s="1484">
        <f t="shared" si="21"/>
        <v>125</v>
      </c>
      <c r="J105" s="1484">
        <f t="shared" si="21"/>
        <v>420</v>
      </c>
      <c r="K105" s="1484">
        <f t="shared" si="21"/>
        <v>291</v>
      </c>
      <c r="L105" s="317"/>
      <c r="M105" s="318">
        <v>292</v>
      </c>
      <c r="N105" s="420">
        <v>248</v>
      </c>
    </row>
    <row r="106" spans="2:14" ht="14.4" thickBot="1" x14ac:dyDescent="0.35">
      <c r="B106" s="388">
        <v>5</v>
      </c>
      <c r="C106" s="345" t="s">
        <v>325</v>
      </c>
      <c r="D106" s="345"/>
      <c r="E106" s="346"/>
      <c r="F106" s="346"/>
      <c r="G106" s="346"/>
      <c r="H106" s="346"/>
      <c r="I106" s="345"/>
      <c r="J106" s="345"/>
      <c r="K106" s="345"/>
      <c r="L106" s="293"/>
      <c r="N106" s="289"/>
    </row>
    <row r="107" spans="2:14" ht="14.4" thickBot="1" x14ac:dyDescent="0.35">
      <c r="B107" s="344"/>
      <c r="C107" s="345" t="s">
        <v>326</v>
      </c>
      <c r="D107" s="345"/>
      <c r="E107" s="346"/>
      <c r="F107" s="346"/>
      <c r="G107" s="346"/>
      <c r="H107" s="346"/>
      <c r="I107" s="345"/>
      <c r="J107" s="345"/>
      <c r="K107" s="345"/>
      <c r="L107" s="293"/>
      <c r="N107" s="289"/>
    </row>
    <row r="108" spans="2:14" ht="14.4" thickBot="1" x14ac:dyDescent="0.35">
      <c r="B108" s="336"/>
      <c r="C108" s="336" t="s">
        <v>322</v>
      </c>
      <c r="D108" s="336"/>
      <c r="E108" s="336"/>
      <c r="F108" s="1487">
        <f>F105</f>
        <v>234</v>
      </c>
      <c r="G108" s="1487">
        <f t="shared" ref="G108:K108" si="22">G105</f>
        <v>166</v>
      </c>
      <c r="H108" s="1487">
        <f t="shared" si="22"/>
        <v>186</v>
      </c>
      <c r="I108" s="1487">
        <f t="shared" si="22"/>
        <v>125</v>
      </c>
      <c r="J108" s="1487">
        <f t="shared" si="22"/>
        <v>420</v>
      </c>
      <c r="K108" s="1487">
        <f t="shared" si="22"/>
        <v>291</v>
      </c>
      <c r="L108" s="293"/>
      <c r="N108" s="289"/>
    </row>
    <row r="109" spans="2:14" ht="16.2" thickBot="1" x14ac:dyDescent="0.35">
      <c r="B109" s="344"/>
      <c r="C109" s="392" t="s">
        <v>323</v>
      </c>
      <c r="D109" s="345"/>
      <c r="E109" s="346"/>
      <c r="F109" s="346"/>
      <c r="G109" s="346"/>
      <c r="H109" s="346"/>
      <c r="I109" s="345"/>
      <c r="J109" s="345"/>
      <c r="K109" s="345"/>
      <c r="L109" s="293"/>
      <c r="N109" s="289"/>
    </row>
    <row r="110" spans="2:14" ht="14.4" thickBot="1" x14ac:dyDescent="0.35">
      <c r="B110" s="393">
        <v>5</v>
      </c>
      <c r="C110" s="394" t="s">
        <v>545</v>
      </c>
      <c r="D110" s="394"/>
      <c r="E110" s="395"/>
      <c r="F110" s="395"/>
      <c r="G110" s="395"/>
      <c r="H110" s="395"/>
      <c r="I110" s="394"/>
      <c r="J110" s="394"/>
      <c r="K110" s="394"/>
      <c r="L110" s="293"/>
      <c r="N110" s="289"/>
    </row>
    <row r="111" spans="2:14" ht="14.4" thickBot="1" x14ac:dyDescent="0.35">
      <c r="B111" s="307">
        <v>5.2</v>
      </c>
      <c r="C111" s="308" t="s">
        <v>762</v>
      </c>
      <c r="D111" s="319" t="s">
        <v>10</v>
      </c>
      <c r="E111" s="332">
        <f>'16. APP UIIDP'!D226</f>
        <v>18000</v>
      </c>
      <c r="F111" s="932">
        <v>15</v>
      </c>
      <c r="G111" s="932">
        <v>16</v>
      </c>
      <c r="H111" s="932">
        <v>14</v>
      </c>
      <c r="I111" s="932">
        <v>12</v>
      </c>
      <c r="J111" s="932">
        <f t="shared" ref="J111:J112" si="23">F111+H111</f>
        <v>29</v>
      </c>
      <c r="K111" s="932">
        <f t="shared" ref="K111:K112" si="24">G111+I111</f>
        <v>28</v>
      </c>
      <c r="L111" s="293"/>
      <c r="N111" s="289"/>
    </row>
    <row r="112" spans="2:14" ht="14.4" thickBot="1" x14ac:dyDescent="0.35">
      <c r="B112" s="307">
        <v>5.3</v>
      </c>
      <c r="C112" s="308" t="s">
        <v>787</v>
      </c>
      <c r="D112" s="319" t="s">
        <v>10</v>
      </c>
      <c r="E112" s="332">
        <f>'16. APP UIIDP'!D229</f>
        <v>4000</v>
      </c>
      <c r="F112" s="932">
        <v>12</v>
      </c>
      <c r="G112" s="932">
        <v>14</v>
      </c>
      <c r="H112" s="932">
        <v>10</v>
      </c>
      <c r="I112" s="932">
        <v>8</v>
      </c>
      <c r="J112" s="932">
        <f t="shared" si="23"/>
        <v>22</v>
      </c>
      <c r="K112" s="932">
        <f t="shared" si="24"/>
        <v>22</v>
      </c>
      <c r="L112" s="293"/>
      <c r="N112" s="289"/>
    </row>
    <row r="113" spans="1:14" ht="14.4" thickBot="1" x14ac:dyDescent="0.35">
      <c r="B113" s="911"/>
      <c r="C113" s="349" t="s">
        <v>600</v>
      </c>
      <c r="D113" s="912"/>
      <c r="E113" s="913">
        <f>E111+E112</f>
        <v>22000</v>
      </c>
      <c r="F113" s="1485">
        <f t="shared" ref="F113:K113" si="25">F111+F112</f>
        <v>27</v>
      </c>
      <c r="G113" s="1485">
        <f t="shared" si="25"/>
        <v>30</v>
      </c>
      <c r="H113" s="1485">
        <f t="shared" si="25"/>
        <v>24</v>
      </c>
      <c r="I113" s="1485">
        <f t="shared" si="25"/>
        <v>20</v>
      </c>
      <c r="J113" s="1485">
        <f t="shared" si="25"/>
        <v>51</v>
      </c>
      <c r="K113" s="1485">
        <f t="shared" si="25"/>
        <v>50</v>
      </c>
      <c r="L113" s="293"/>
      <c r="M113" s="289">
        <v>51</v>
      </c>
      <c r="N113" s="289">
        <v>44</v>
      </c>
    </row>
    <row r="114" spans="1:14" ht="14.4" thickBot="1" x14ac:dyDescent="0.35">
      <c r="B114" s="307">
        <v>6</v>
      </c>
      <c r="C114" s="386" t="s">
        <v>598</v>
      </c>
      <c r="D114" s="319"/>
      <c r="E114" s="332"/>
      <c r="F114" s="396"/>
      <c r="G114" s="396"/>
      <c r="H114" s="396"/>
      <c r="I114" s="311"/>
      <c r="J114" s="320"/>
      <c r="K114" s="320"/>
      <c r="L114" s="293"/>
      <c r="N114" s="289"/>
    </row>
    <row r="115" spans="1:14" ht="14.4" thickBot="1" x14ac:dyDescent="0.35">
      <c r="B115" s="307">
        <v>6.1</v>
      </c>
      <c r="C115" s="308" t="s">
        <v>788</v>
      </c>
      <c r="D115" s="319" t="s">
        <v>11</v>
      </c>
      <c r="E115" s="1081">
        <v>0.1</v>
      </c>
      <c r="F115" s="932">
        <v>7</v>
      </c>
      <c r="G115" s="932">
        <v>5</v>
      </c>
      <c r="H115" s="932">
        <v>6</v>
      </c>
      <c r="I115" s="932">
        <v>5</v>
      </c>
      <c r="J115" s="932">
        <f>F115+H115</f>
        <v>13</v>
      </c>
      <c r="K115" s="932">
        <f>G115+I115</f>
        <v>10</v>
      </c>
      <c r="L115" s="293"/>
      <c r="N115" s="289"/>
    </row>
    <row r="116" spans="1:14" ht="14.4" thickBot="1" x14ac:dyDescent="0.35">
      <c r="B116" s="911"/>
      <c r="C116" s="349" t="s">
        <v>599</v>
      </c>
      <c r="D116" s="912"/>
      <c r="E116" s="1082">
        <f>E115</f>
        <v>0.1</v>
      </c>
      <c r="F116" s="1485">
        <f t="shared" ref="F116:K116" si="26">F115</f>
        <v>7</v>
      </c>
      <c r="G116" s="1485">
        <f t="shared" si="26"/>
        <v>5</v>
      </c>
      <c r="H116" s="1485">
        <f t="shared" si="26"/>
        <v>6</v>
      </c>
      <c r="I116" s="1485">
        <f t="shared" si="26"/>
        <v>5</v>
      </c>
      <c r="J116" s="1485">
        <f t="shared" si="26"/>
        <v>13</v>
      </c>
      <c r="K116" s="1485">
        <f t="shared" si="26"/>
        <v>10</v>
      </c>
      <c r="L116" s="293"/>
      <c r="M116" s="289">
        <v>13</v>
      </c>
      <c r="N116" s="289">
        <v>10</v>
      </c>
    </row>
    <row r="117" spans="1:14" ht="14.4" thickBot="1" x14ac:dyDescent="0.35">
      <c r="B117" s="911">
        <v>7</v>
      </c>
      <c r="C117" s="387" t="s">
        <v>489</v>
      </c>
      <c r="D117" s="912"/>
      <c r="E117" s="913"/>
      <c r="F117" s="913"/>
      <c r="G117" s="913"/>
      <c r="H117" s="913"/>
      <c r="I117" s="913"/>
      <c r="J117" s="913"/>
      <c r="K117" s="914"/>
      <c r="L117" s="293"/>
      <c r="N117" s="289"/>
    </row>
    <row r="118" spans="1:14" ht="14.4" thickBot="1" x14ac:dyDescent="0.35">
      <c r="B118" s="307">
        <v>7.1</v>
      </c>
      <c r="C118" s="308" t="s">
        <v>508</v>
      </c>
      <c r="D118" s="319" t="s">
        <v>11</v>
      </c>
      <c r="E118" s="1081">
        <v>0.1</v>
      </c>
      <c r="F118" s="932">
        <v>12</v>
      </c>
      <c r="G118" s="932">
        <v>11</v>
      </c>
      <c r="H118" s="932">
        <v>10</v>
      </c>
      <c r="I118" s="932">
        <v>8</v>
      </c>
      <c r="J118" s="932">
        <f t="shared" ref="J118" si="27">F118+H118</f>
        <v>22</v>
      </c>
      <c r="K118" s="932">
        <f t="shared" ref="K118" si="28">G118+I118</f>
        <v>19</v>
      </c>
      <c r="L118" s="293"/>
      <c r="N118" s="289"/>
    </row>
    <row r="119" spans="1:14" ht="14.4" thickBot="1" x14ac:dyDescent="0.35">
      <c r="B119" s="393"/>
      <c r="C119" s="387" t="s">
        <v>601</v>
      </c>
      <c r="D119" s="394"/>
      <c r="E119" s="395">
        <f>E118</f>
        <v>0.1</v>
      </c>
      <c r="F119" s="1486">
        <f t="shared" ref="F119:K119" si="29">F118</f>
        <v>12</v>
      </c>
      <c r="G119" s="1486">
        <f t="shared" si="29"/>
        <v>11</v>
      </c>
      <c r="H119" s="1486">
        <f t="shared" si="29"/>
        <v>10</v>
      </c>
      <c r="I119" s="1486">
        <f t="shared" si="29"/>
        <v>8</v>
      </c>
      <c r="J119" s="1486">
        <f t="shared" si="29"/>
        <v>22</v>
      </c>
      <c r="K119" s="1486">
        <f t="shared" si="29"/>
        <v>19</v>
      </c>
      <c r="L119" s="293"/>
      <c r="M119" s="289">
        <v>22</v>
      </c>
      <c r="N119" s="289">
        <v>19</v>
      </c>
    </row>
    <row r="120" spans="1:14" ht="14.4" thickBot="1" x14ac:dyDescent="0.35">
      <c r="B120" s="393">
        <v>6</v>
      </c>
      <c r="C120" s="394" t="s">
        <v>548</v>
      </c>
      <c r="D120" s="394"/>
      <c r="E120" s="397"/>
      <c r="F120" s="398"/>
      <c r="G120" s="398"/>
      <c r="H120" s="398"/>
      <c r="I120" s="394"/>
      <c r="J120" s="395"/>
      <c r="K120" s="320"/>
      <c r="L120" s="293"/>
      <c r="N120" s="289"/>
    </row>
    <row r="121" spans="1:14" ht="14.4" thickBot="1" x14ac:dyDescent="0.35">
      <c r="A121" s="693"/>
      <c r="B121" s="689">
        <v>6.1</v>
      </c>
      <c r="C121" s="324" t="s">
        <v>761</v>
      </c>
      <c r="D121" s="690" t="s">
        <v>97</v>
      </c>
      <c r="E121" s="704">
        <f>'16. APP UIIDP'!D203</f>
        <v>90</v>
      </c>
      <c r="F121" s="932">
        <v>7</v>
      </c>
      <c r="G121" s="932">
        <v>5</v>
      </c>
      <c r="H121" s="932">
        <v>6</v>
      </c>
      <c r="I121" s="932">
        <v>5</v>
      </c>
      <c r="J121" s="932">
        <f>F121+H121</f>
        <v>13</v>
      </c>
      <c r="K121" s="932">
        <f>G121+I121</f>
        <v>10</v>
      </c>
      <c r="L121" s="293"/>
      <c r="N121" s="289"/>
    </row>
    <row r="122" spans="1:14" ht="14.4" thickBot="1" x14ac:dyDescent="0.35">
      <c r="A122" s="693"/>
      <c r="B122" s="689"/>
      <c r="C122" s="690" t="s">
        <v>549</v>
      </c>
      <c r="D122" s="690"/>
      <c r="E122" s="704">
        <f>E121</f>
        <v>90</v>
      </c>
      <c r="F122" s="934">
        <f t="shared" ref="F122:K122" si="30">F121</f>
        <v>7</v>
      </c>
      <c r="G122" s="934">
        <f t="shared" si="30"/>
        <v>5</v>
      </c>
      <c r="H122" s="934">
        <f t="shared" si="30"/>
        <v>6</v>
      </c>
      <c r="I122" s="934">
        <f t="shared" si="30"/>
        <v>5</v>
      </c>
      <c r="J122" s="934">
        <f t="shared" si="30"/>
        <v>13</v>
      </c>
      <c r="K122" s="934">
        <f t="shared" si="30"/>
        <v>10</v>
      </c>
      <c r="L122" s="293"/>
      <c r="M122" s="289">
        <v>13</v>
      </c>
      <c r="N122" s="290">
        <v>10</v>
      </c>
    </row>
    <row r="123" spans="1:14" s="1416" customFormat="1" ht="16.2" thickBot="1" x14ac:dyDescent="0.35">
      <c r="B123" s="689"/>
      <c r="C123" s="392" t="s">
        <v>786</v>
      </c>
      <c r="D123" s="1417"/>
      <c r="E123" s="949"/>
      <c r="F123" s="1488">
        <f>F113+F116+F119+F122</f>
        <v>53</v>
      </c>
      <c r="G123" s="1488">
        <f t="shared" ref="G123:K123" si="31">G113+G116+G119+G122</f>
        <v>51</v>
      </c>
      <c r="H123" s="1488">
        <f t="shared" si="31"/>
        <v>46</v>
      </c>
      <c r="I123" s="1488">
        <f t="shared" si="31"/>
        <v>38</v>
      </c>
      <c r="J123" s="1488">
        <f t="shared" si="31"/>
        <v>99</v>
      </c>
      <c r="K123" s="1488">
        <f t="shared" si="31"/>
        <v>89</v>
      </c>
      <c r="L123" s="1418"/>
    </row>
    <row r="124" spans="1:14" ht="16.2" thickBot="1" x14ac:dyDescent="0.35">
      <c r="B124" s="399"/>
      <c r="C124" s="400" t="s">
        <v>324</v>
      </c>
      <c r="D124" s="401"/>
      <c r="E124" s="402"/>
      <c r="F124" s="1489">
        <f t="shared" ref="F124:K124" si="32">F108+F123</f>
        <v>287</v>
      </c>
      <c r="G124" s="1489">
        <f t="shared" si="32"/>
        <v>217</v>
      </c>
      <c r="H124" s="1489">
        <f t="shared" si="32"/>
        <v>232</v>
      </c>
      <c r="I124" s="1489">
        <f t="shared" si="32"/>
        <v>163</v>
      </c>
      <c r="J124" s="1489">
        <f t="shared" si="32"/>
        <v>519</v>
      </c>
      <c r="K124" s="1489">
        <f t="shared" si="32"/>
        <v>380</v>
      </c>
      <c r="L124" s="293"/>
    </row>
    <row r="125" spans="1:14" ht="18" thickBot="1" x14ac:dyDescent="0.35">
      <c r="B125" s="403"/>
      <c r="C125" s="404" t="s">
        <v>303</v>
      </c>
      <c r="D125" s="403"/>
      <c r="E125" s="403"/>
      <c r="F125" s="405"/>
      <c r="G125" s="405"/>
      <c r="H125" s="405"/>
      <c r="I125" s="405"/>
      <c r="J125" s="405"/>
      <c r="K125" s="403"/>
      <c r="L125" s="293"/>
    </row>
    <row r="126" spans="1:14" s="1353" customFormat="1" ht="16.2" thickBot="1" x14ac:dyDescent="0.35">
      <c r="B126" s="150"/>
      <c r="C126" s="2058" t="s">
        <v>337</v>
      </c>
      <c r="D126" s="2059"/>
      <c r="E126" s="2059"/>
      <c r="F126" s="1490">
        <f>F124</f>
        <v>287</v>
      </c>
      <c r="G126" s="1490">
        <f t="shared" ref="G126:K126" si="33">G124</f>
        <v>217</v>
      </c>
      <c r="H126" s="1490">
        <f t="shared" si="33"/>
        <v>232</v>
      </c>
      <c r="I126" s="1490">
        <f t="shared" si="33"/>
        <v>163</v>
      </c>
      <c r="J126" s="1490">
        <f t="shared" si="33"/>
        <v>519</v>
      </c>
      <c r="K126" s="1490">
        <f t="shared" si="33"/>
        <v>380</v>
      </c>
      <c r="L126" s="1358"/>
      <c r="N126" s="1421"/>
    </row>
    <row r="127" spans="1:14" s="318" customFormat="1" ht="16.2" thickBot="1" x14ac:dyDescent="0.35">
      <c r="B127" s="130"/>
      <c r="C127" s="410" t="s">
        <v>327</v>
      </c>
      <c r="D127" s="411"/>
      <c r="E127" s="412"/>
      <c r="F127" s="412"/>
      <c r="G127" s="412"/>
      <c r="H127" s="412"/>
      <c r="I127" s="412"/>
      <c r="J127" s="412"/>
      <c r="K127" s="412"/>
      <c r="L127" s="317"/>
      <c r="N127" s="420"/>
    </row>
    <row r="128" spans="1:14" s="318" customFormat="1" ht="18" thickBot="1" x14ac:dyDescent="0.35">
      <c r="B128" s="385"/>
      <c r="C128" s="414" t="s">
        <v>164</v>
      </c>
      <c r="D128" s="380"/>
      <c r="E128" s="381"/>
      <c r="F128" s="381"/>
      <c r="G128" s="381"/>
      <c r="H128" s="381"/>
      <c r="I128" s="383"/>
      <c r="J128" s="383"/>
      <c r="K128" s="383"/>
      <c r="L128" s="317"/>
      <c r="N128" s="420"/>
    </row>
    <row r="129" spans="2:14" ht="14.4" thickBot="1" x14ac:dyDescent="0.35">
      <c r="B129" s="373">
        <v>2</v>
      </c>
      <c r="C129" s="415" t="s">
        <v>336</v>
      </c>
      <c r="D129" s="415"/>
      <c r="E129" s="416"/>
      <c r="F129" s="416"/>
      <c r="G129" s="416"/>
      <c r="H129" s="416"/>
      <c r="I129" s="415"/>
      <c r="J129" s="415"/>
      <c r="K129" s="415"/>
      <c r="L129" s="293"/>
    </row>
    <row r="130" spans="2:14" ht="14.4" thickBot="1" x14ac:dyDescent="0.35">
      <c r="B130" s="307">
        <v>2.1</v>
      </c>
      <c r="C130" s="308" t="s">
        <v>503</v>
      </c>
      <c r="D130" s="319" t="s">
        <v>9</v>
      </c>
      <c r="E130" s="389">
        <f>'16. APP UIIDP'!D211</f>
        <v>250</v>
      </c>
      <c r="F130" s="932">
        <v>60</v>
      </c>
      <c r="G130" s="932">
        <v>48</v>
      </c>
      <c r="H130" s="932">
        <v>62</v>
      </c>
      <c r="I130" s="932">
        <v>31</v>
      </c>
      <c r="J130" s="932">
        <f t="shared" ref="J130:J131" si="34">F130+H130</f>
        <v>122</v>
      </c>
      <c r="K130" s="932">
        <f t="shared" ref="K130:K131" si="35">G130+I130</f>
        <v>79</v>
      </c>
      <c r="L130" s="293"/>
    </row>
    <row r="131" spans="2:14" ht="14.4" thickBot="1" x14ac:dyDescent="0.35">
      <c r="B131" s="307">
        <v>2.2000000000000002</v>
      </c>
      <c r="C131" s="308" t="s">
        <v>502</v>
      </c>
      <c r="D131" s="319" t="s">
        <v>9</v>
      </c>
      <c r="E131" s="389">
        <f>'16. APP UIIDP'!D208</f>
        <v>80</v>
      </c>
      <c r="F131" s="932">
        <v>22</v>
      </c>
      <c r="G131" s="932">
        <v>16</v>
      </c>
      <c r="H131" s="932">
        <v>18</v>
      </c>
      <c r="I131" s="932">
        <v>12</v>
      </c>
      <c r="J131" s="932">
        <f t="shared" si="34"/>
        <v>40</v>
      </c>
      <c r="K131" s="932">
        <f t="shared" si="35"/>
        <v>28</v>
      </c>
      <c r="L131" s="293"/>
    </row>
    <row r="132" spans="2:14" ht="14.4" thickBot="1" x14ac:dyDescent="0.35">
      <c r="B132" s="373"/>
      <c r="C132" s="415" t="s">
        <v>169</v>
      </c>
      <c r="D132" s="415"/>
      <c r="E132" s="416">
        <f>E130+E131</f>
        <v>330</v>
      </c>
      <c r="F132" s="1491">
        <f>F130+F131</f>
        <v>82</v>
      </c>
      <c r="G132" s="1491">
        <f t="shared" ref="G132:K132" si="36">G130+G131</f>
        <v>64</v>
      </c>
      <c r="H132" s="1491">
        <f t="shared" si="36"/>
        <v>80</v>
      </c>
      <c r="I132" s="1491">
        <f t="shared" si="36"/>
        <v>43</v>
      </c>
      <c r="J132" s="1491">
        <f t="shared" si="36"/>
        <v>162</v>
      </c>
      <c r="K132" s="1491">
        <f t="shared" si="36"/>
        <v>107</v>
      </c>
      <c r="L132" s="293"/>
      <c r="M132" s="534">
        <v>104</v>
      </c>
      <c r="N132" s="289">
        <v>81</v>
      </c>
    </row>
    <row r="133" spans="2:14" ht="14.4" thickBot="1" x14ac:dyDescent="0.35">
      <c r="B133" s="329"/>
      <c r="C133" s="330" t="s">
        <v>282</v>
      </c>
      <c r="D133" s="330"/>
      <c r="E133" s="331">
        <f>E132</f>
        <v>330</v>
      </c>
      <c r="F133" s="1474">
        <f>F132</f>
        <v>82</v>
      </c>
      <c r="G133" s="1474">
        <f t="shared" ref="G133:K133" si="37">G132</f>
        <v>64</v>
      </c>
      <c r="H133" s="1474">
        <f t="shared" si="37"/>
        <v>80</v>
      </c>
      <c r="I133" s="1474">
        <f t="shared" si="37"/>
        <v>43</v>
      </c>
      <c r="J133" s="1474">
        <f t="shared" si="37"/>
        <v>162</v>
      </c>
      <c r="K133" s="1474">
        <f t="shared" si="37"/>
        <v>107</v>
      </c>
      <c r="L133" s="293"/>
      <c r="N133" s="289"/>
    </row>
    <row r="134" spans="2:14" ht="18" thickBot="1" x14ac:dyDescent="0.35">
      <c r="B134" s="414"/>
      <c r="C134" s="414" t="s">
        <v>324</v>
      </c>
      <c r="D134" s="527"/>
      <c r="E134" s="527"/>
      <c r="F134" s="1492">
        <f>F133</f>
        <v>82</v>
      </c>
      <c r="G134" s="1492">
        <f t="shared" ref="G134:K135" si="38">G133</f>
        <v>64</v>
      </c>
      <c r="H134" s="1492">
        <f t="shared" si="38"/>
        <v>80</v>
      </c>
      <c r="I134" s="1492">
        <f t="shared" si="38"/>
        <v>43</v>
      </c>
      <c r="J134" s="1492">
        <f t="shared" si="38"/>
        <v>162</v>
      </c>
      <c r="K134" s="1492">
        <f t="shared" si="38"/>
        <v>107</v>
      </c>
      <c r="L134" s="293"/>
      <c r="N134" s="289"/>
    </row>
    <row r="135" spans="2:14" s="1353" customFormat="1" ht="17.399999999999999" x14ac:dyDescent="0.3">
      <c r="B135" s="417"/>
      <c r="C135" s="526" t="s">
        <v>328</v>
      </c>
      <c r="D135" s="530"/>
      <c r="E135" s="530"/>
      <c r="F135" s="1493">
        <f>F134</f>
        <v>82</v>
      </c>
      <c r="G135" s="1493">
        <f t="shared" si="38"/>
        <v>64</v>
      </c>
      <c r="H135" s="1493">
        <f t="shared" si="38"/>
        <v>80</v>
      </c>
      <c r="I135" s="1493">
        <f t="shared" si="38"/>
        <v>43</v>
      </c>
      <c r="J135" s="1493">
        <f t="shared" si="38"/>
        <v>162</v>
      </c>
      <c r="K135" s="1493">
        <f t="shared" si="38"/>
        <v>107</v>
      </c>
      <c r="L135" s="1358"/>
    </row>
    <row r="136" spans="2:14" ht="26.4" x14ac:dyDescent="0.3">
      <c r="B136" s="531"/>
      <c r="C136" s="532" t="s">
        <v>167</v>
      </c>
      <c r="D136" s="531"/>
      <c r="E136" s="531"/>
      <c r="F136" s="531"/>
      <c r="G136" s="531"/>
      <c r="H136" s="531"/>
      <c r="I136" s="531"/>
      <c r="J136" s="531"/>
      <c r="K136" s="531"/>
      <c r="L136" s="293"/>
      <c r="N136" s="289"/>
    </row>
    <row r="137" spans="2:14" ht="16.2" thickBot="1" x14ac:dyDescent="0.35">
      <c r="B137" s="126"/>
      <c r="C137" s="127" t="s">
        <v>331</v>
      </c>
      <c r="D137" s="128"/>
      <c r="E137" s="128"/>
      <c r="F137" s="129"/>
      <c r="G137" s="129"/>
      <c r="H137" s="129"/>
      <c r="I137" s="128"/>
      <c r="J137" s="128"/>
      <c r="K137" s="128"/>
      <c r="L137" s="293"/>
      <c r="N137" s="289"/>
    </row>
    <row r="138" spans="2:14" ht="16.2" thickBot="1" x14ac:dyDescent="0.35">
      <c r="B138" s="126" t="s">
        <v>1</v>
      </c>
      <c r="C138" s="127" t="s">
        <v>332</v>
      </c>
      <c r="D138" s="128"/>
      <c r="E138" s="128"/>
      <c r="F138" s="129"/>
      <c r="G138" s="129"/>
      <c r="H138" s="129"/>
      <c r="I138" s="128"/>
      <c r="J138" s="128"/>
      <c r="K138" s="128"/>
      <c r="L138" s="293"/>
      <c r="N138" s="289"/>
    </row>
    <row r="139" spans="2:14" ht="14.4" thickBot="1" x14ac:dyDescent="0.35">
      <c r="B139" s="307"/>
      <c r="C139" s="308"/>
      <c r="D139" s="319"/>
      <c r="E139" s="332"/>
      <c r="F139" s="320"/>
      <c r="G139" s="320"/>
      <c r="H139" s="320"/>
      <c r="I139" s="320"/>
      <c r="J139" s="320"/>
      <c r="K139" s="311"/>
      <c r="L139" s="293"/>
      <c r="N139" s="289"/>
    </row>
    <row r="141" spans="2:14" ht="16.2" thickBot="1" x14ac:dyDescent="0.35">
      <c r="B141" s="126"/>
      <c r="C141" s="127" t="s">
        <v>333</v>
      </c>
      <c r="D141" s="128"/>
      <c r="E141" s="128"/>
      <c r="F141" s="129"/>
      <c r="G141" s="129"/>
      <c r="H141" s="129"/>
      <c r="I141" s="128"/>
      <c r="J141" s="128"/>
      <c r="K141" s="128"/>
      <c r="L141" s="293"/>
      <c r="N141" s="289"/>
    </row>
    <row r="142" spans="2:14" ht="14.4" thickBot="1" x14ac:dyDescent="0.35">
      <c r="B142" s="307">
        <v>1</v>
      </c>
      <c r="C142" s="308" t="s">
        <v>120</v>
      </c>
      <c r="D142" s="319" t="s">
        <v>3</v>
      </c>
      <c r="E142" s="332">
        <v>16</v>
      </c>
      <c r="F142" s="937">
        <v>55</v>
      </c>
      <c r="G142" s="937">
        <v>43</v>
      </c>
      <c r="H142" s="937">
        <v>52</v>
      </c>
      <c r="I142" s="937">
        <v>39</v>
      </c>
      <c r="J142" s="932">
        <f t="shared" ref="J142" si="39">F142+H142</f>
        <v>107</v>
      </c>
      <c r="K142" s="932">
        <f t="shared" ref="K142" si="40">G142+I142</f>
        <v>82</v>
      </c>
      <c r="L142" s="293"/>
      <c r="N142" s="289"/>
    </row>
    <row r="143" spans="2:14" ht="14.4" thickBot="1" x14ac:dyDescent="0.35">
      <c r="B143" s="307">
        <v>2</v>
      </c>
      <c r="C143" s="308" t="s">
        <v>153</v>
      </c>
      <c r="D143" s="319" t="s">
        <v>3</v>
      </c>
      <c r="E143" s="332">
        <v>1</v>
      </c>
      <c r="F143" s="932">
        <v>60</v>
      </c>
      <c r="G143" s="932">
        <v>48</v>
      </c>
      <c r="H143" s="932">
        <v>64</v>
      </c>
      <c r="I143" s="932">
        <v>41</v>
      </c>
      <c r="J143" s="932">
        <f t="shared" ref="J143:J144" si="41">F143+H143</f>
        <v>124</v>
      </c>
      <c r="K143" s="932">
        <f t="shared" ref="K143:K144" si="42">G143+I143</f>
        <v>89</v>
      </c>
      <c r="L143" s="293"/>
      <c r="N143" s="289"/>
    </row>
    <row r="144" spans="2:14" s="693" customFormat="1" ht="14.4" thickBot="1" x14ac:dyDescent="0.35">
      <c r="B144" s="944">
        <v>3</v>
      </c>
      <c r="C144" s="308" t="s">
        <v>608</v>
      </c>
      <c r="D144" s="319" t="s">
        <v>3</v>
      </c>
      <c r="E144" s="945">
        <v>1</v>
      </c>
      <c r="F144" s="932">
        <v>35</v>
      </c>
      <c r="G144" s="932">
        <v>26</v>
      </c>
      <c r="H144" s="932">
        <v>28</v>
      </c>
      <c r="I144" s="932">
        <v>15</v>
      </c>
      <c r="J144" s="932">
        <f t="shared" si="41"/>
        <v>63</v>
      </c>
      <c r="K144" s="932">
        <f t="shared" si="42"/>
        <v>41</v>
      </c>
      <c r="L144" s="692"/>
    </row>
    <row r="145" spans="2:14" ht="14.4" thickBot="1" x14ac:dyDescent="0.35">
      <c r="B145" s="307">
        <v>3</v>
      </c>
      <c r="C145" s="308" t="s">
        <v>436</v>
      </c>
      <c r="D145" s="319" t="s">
        <v>3</v>
      </c>
      <c r="E145" s="1081">
        <v>1</v>
      </c>
      <c r="F145" s="932">
        <v>7</v>
      </c>
      <c r="G145" s="932">
        <v>5</v>
      </c>
      <c r="H145" s="932">
        <v>6</v>
      </c>
      <c r="I145" s="932">
        <v>5</v>
      </c>
      <c r="J145" s="932">
        <f>F145+H145</f>
        <v>13</v>
      </c>
      <c r="K145" s="932">
        <f>G145+I145</f>
        <v>10</v>
      </c>
      <c r="L145" s="293"/>
      <c r="N145" s="289"/>
    </row>
    <row r="146" spans="2:14" ht="16.2" thickBot="1" x14ac:dyDescent="0.35">
      <c r="B146" s="366"/>
      <c r="C146" s="127" t="s">
        <v>789</v>
      </c>
      <c r="D146" s="406" t="s">
        <v>3</v>
      </c>
      <c r="E146" s="407">
        <v>19</v>
      </c>
      <c r="F146" s="1494">
        <f>F142+F143+F144+F145</f>
        <v>157</v>
      </c>
      <c r="G146" s="1494">
        <f t="shared" ref="G146:K146" si="43">G142+G143+G144+G145</f>
        <v>122</v>
      </c>
      <c r="H146" s="1494">
        <f t="shared" si="43"/>
        <v>150</v>
      </c>
      <c r="I146" s="1494">
        <f t="shared" si="43"/>
        <v>100</v>
      </c>
      <c r="J146" s="1494">
        <f t="shared" si="43"/>
        <v>307</v>
      </c>
      <c r="K146" s="1494">
        <f t="shared" si="43"/>
        <v>222</v>
      </c>
      <c r="L146" s="293"/>
      <c r="M146" s="289">
        <v>162</v>
      </c>
      <c r="N146" s="289">
        <v>118</v>
      </c>
    </row>
    <row r="147" spans="2:14" s="1353" customFormat="1" ht="16.2" thickBot="1" x14ac:dyDescent="0.35">
      <c r="B147" s="150"/>
      <c r="C147" s="1495" t="s">
        <v>334</v>
      </c>
      <c r="D147" s="1496" t="s">
        <v>3</v>
      </c>
      <c r="E147" s="1497">
        <f>E146</f>
        <v>19</v>
      </c>
      <c r="F147" s="1498">
        <f>F146</f>
        <v>157</v>
      </c>
      <c r="G147" s="1498">
        <f t="shared" ref="G147:K147" si="44">G146</f>
        <v>122</v>
      </c>
      <c r="H147" s="1498">
        <f t="shared" si="44"/>
        <v>150</v>
      </c>
      <c r="I147" s="1498">
        <f t="shared" si="44"/>
        <v>100</v>
      </c>
      <c r="J147" s="1498">
        <f t="shared" si="44"/>
        <v>307</v>
      </c>
      <c r="K147" s="1498">
        <f t="shared" si="44"/>
        <v>222</v>
      </c>
      <c r="L147" s="1358"/>
    </row>
    <row r="148" spans="2:14" ht="16.2" thickBot="1" x14ac:dyDescent="0.35">
      <c r="B148" s="126"/>
      <c r="C148" s="127" t="s">
        <v>335</v>
      </c>
      <c r="D148" s="128"/>
      <c r="E148" s="128"/>
      <c r="F148" s="129"/>
      <c r="G148" s="129"/>
      <c r="H148" s="129"/>
      <c r="I148" s="129"/>
      <c r="J148" s="129"/>
      <c r="K148" s="129"/>
      <c r="L148" s="293"/>
    </row>
    <row r="149" spans="2:14" x14ac:dyDescent="0.3">
      <c r="B149" s="2052"/>
      <c r="C149" s="2053" t="s">
        <v>232</v>
      </c>
      <c r="D149" s="307"/>
      <c r="E149" s="307"/>
      <c r="F149" s="307"/>
      <c r="G149" s="307"/>
      <c r="H149" s="307"/>
      <c r="I149" s="307"/>
      <c r="J149" s="307"/>
      <c r="K149" s="307"/>
      <c r="L149" s="938"/>
      <c r="N149" s="289"/>
    </row>
    <row r="150" spans="2:14" x14ac:dyDescent="0.3">
      <c r="B150" s="2052"/>
      <c r="C150" s="2053"/>
      <c r="D150" s="307"/>
      <c r="E150" s="307"/>
      <c r="F150" s="307"/>
      <c r="G150" s="307"/>
      <c r="H150" s="307"/>
      <c r="I150" s="307"/>
      <c r="J150" s="307"/>
      <c r="K150" s="307"/>
      <c r="L150" s="938"/>
      <c r="N150" s="289"/>
    </row>
    <row r="151" spans="2:14" ht="14.4" thickBot="1" x14ac:dyDescent="0.35">
      <c r="B151" s="939">
        <v>1</v>
      </c>
      <c r="C151" s="939"/>
      <c r="D151" s="319"/>
      <c r="E151" s="310"/>
      <c r="F151" s="320"/>
      <c r="G151" s="320"/>
      <c r="H151" s="320"/>
      <c r="I151" s="320"/>
      <c r="J151" s="320"/>
      <c r="K151" s="311"/>
      <c r="L151" s="293"/>
      <c r="N151" s="289"/>
    </row>
    <row r="152" spans="2:14" s="318" customFormat="1" ht="14.4" thickBot="1" x14ac:dyDescent="0.35">
      <c r="B152" s="940"/>
      <c r="C152" s="941"/>
      <c r="D152" s="942"/>
      <c r="E152" s="943"/>
      <c r="F152" s="943"/>
      <c r="G152" s="943"/>
      <c r="H152" s="943"/>
      <c r="I152" s="943"/>
      <c r="J152" s="943"/>
      <c r="K152" s="943"/>
      <c r="L152" s="317"/>
    </row>
    <row r="153" spans="2:14" s="101" customFormat="1" ht="15" thickBot="1" x14ac:dyDescent="0.35">
      <c r="B153" s="335"/>
      <c r="C153" s="336" t="s">
        <v>986</v>
      </c>
      <c r="D153" s="336"/>
      <c r="E153" s="337"/>
      <c r="F153" s="1475">
        <f t="shared" ref="F153:K153" si="45">F147+F135+F126+F89</f>
        <v>1662</v>
      </c>
      <c r="G153" s="1475">
        <f t="shared" si="45"/>
        <v>1101</v>
      </c>
      <c r="H153" s="1475">
        <f t="shared" si="45"/>
        <v>1392</v>
      </c>
      <c r="I153" s="1475">
        <f t="shared" si="45"/>
        <v>912</v>
      </c>
      <c r="J153" s="1475">
        <f t="shared" si="45"/>
        <v>3054</v>
      </c>
      <c r="K153" s="1475">
        <f t="shared" si="45"/>
        <v>2013</v>
      </c>
      <c r="L153" s="419"/>
      <c r="M153" s="101">
        <f>SUM(M11:M152)</f>
        <v>2575</v>
      </c>
      <c r="N153" s="101">
        <f>SUM(N11:N152)</f>
        <v>1748</v>
      </c>
    </row>
    <row r="154" spans="2:14" x14ac:dyDescent="0.3">
      <c r="G154" s="289">
        <f>F153+G153</f>
        <v>2763</v>
      </c>
      <c r="I154" s="289">
        <f>H153+I153</f>
        <v>2304</v>
      </c>
      <c r="N154" s="290">
        <f>M153+N153</f>
        <v>4323</v>
      </c>
    </row>
    <row r="155" spans="2:14" x14ac:dyDescent="0.3">
      <c r="F155" s="533">
        <f>F153+G153+H153</f>
        <v>4155</v>
      </c>
      <c r="H155" s="534">
        <f>F155+K153</f>
        <v>6168</v>
      </c>
      <c r="J155" s="289">
        <f>J153+K153</f>
        <v>5067</v>
      </c>
      <c r="K155" s="534">
        <f>N161-J155</f>
        <v>284</v>
      </c>
      <c r="M155" s="289">
        <f>J153+K153</f>
        <v>5067</v>
      </c>
    </row>
    <row r="156" spans="2:14" x14ac:dyDescent="0.3">
      <c r="F156" s="534"/>
    </row>
    <row r="157" spans="2:14" x14ac:dyDescent="0.3">
      <c r="K157" s="534">
        <f>F155+I153+J153+K153</f>
        <v>10134</v>
      </c>
    </row>
    <row r="158" spans="2:14" ht="14.4" thickBot="1" x14ac:dyDescent="0.35">
      <c r="C158" s="289">
        <v>2755507.75</v>
      </c>
      <c r="E158" s="289"/>
      <c r="F158" s="871">
        <v>882100.33</v>
      </c>
      <c r="H158" s="534">
        <f>F153+G153+H153+I153+J153+K153</f>
        <v>10134</v>
      </c>
      <c r="N158" s="289"/>
    </row>
    <row r="159" spans="2:14" ht="14.4" thickBot="1" x14ac:dyDescent="0.35">
      <c r="C159" s="289">
        <v>69610194.25</v>
      </c>
      <c r="E159" s="289"/>
      <c r="F159" s="872">
        <v>3117899.33</v>
      </c>
      <c r="H159" s="534">
        <f>I153+J153</f>
        <v>3966</v>
      </c>
      <c r="K159" s="289">
        <v>612642.26</v>
      </c>
      <c r="N159" s="1536">
        <v>3537</v>
      </c>
    </row>
    <row r="160" spans="2:14" ht="14.4" thickBot="1" x14ac:dyDescent="0.35">
      <c r="C160" s="289">
        <f>C158+C159</f>
        <v>72365702</v>
      </c>
      <c r="E160" s="289"/>
      <c r="F160" s="873">
        <f>F158+F159</f>
        <v>3999999.66</v>
      </c>
      <c r="H160" s="534">
        <f>H158-H159</f>
        <v>6168</v>
      </c>
      <c r="K160" s="534">
        <f>K153+K159</f>
        <v>614655.26</v>
      </c>
      <c r="N160" s="1536">
        <v>1814</v>
      </c>
    </row>
    <row r="161" spans="5:14" x14ac:dyDescent="0.3">
      <c r="N161" s="1537">
        <f>N159+N160</f>
        <v>5351</v>
      </c>
    </row>
    <row r="162" spans="5:14" x14ac:dyDescent="0.3">
      <c r="G162" s="289">
        <v>132365702</v>
      </c>
    </row>
    <row r="163" spans="5:14" x14ac:dyDescent="0.3">
      <c r="G163" s="289">
        <v>3000000</v>
      </c>
    </row>
    <row r="164" spans="5:14" x14ac:dyDescent="0.3">
      <c r="G164" s="289">
        <v>3000000</v>
      </c>
    </row>
    <row r="165" spans="5:14" x14ac:dyDescent="0.3">
      <c r="E165" s="289"/>
      <c r="N165" s="289"/>
    </row>
    <row r="166" spans="5:14" x14ac:dyDescent="0.3">
      <c r="E166" s="289"/>
      <c r="F166" s="289">
        <v>30000000</v>
      </c>
      <c r="N166" s="289"/>
    </row>
    <row r="167" spans="5:14" x14ac:dyDescent="0.3">
      <c r="E167" s="289"/>
      <c r="F167" s="289">
        <v>72365702</v>
      </c>
      <c r="H167" s="289">
        <v>1.82912206116649</v>
      </c>
      <c r="I167" s="289">
        <v>0.414561030583245</v>
      </c>
      <c r="N167" s="289"/>
    </row>
    <row r="168" spans="5:14" x14ac:dyDescent="0.3">
      <c r="E168" s="289"/>
      <c r="F168" s="289">
        <f>F166/F167</f>
        <v>0.41456103058324506</v>
      </c>
      <c r="I168" s="289">
        <f>I167*2</f>
        <v>0.82912206116649001</v>
      </c>
      <c r="N168" s="289"/>
    </row>
    <row r="169" spans="5:14" x14ac:dyDescent="0.3">
      <c r="E169" s="289"/>
      <c r="I169" s="289">
        <f>1+I168</f>
        <v>1.82912206116649</v>
      </c>
      <c r="N169" s="289"/>
    </row>
  </sheetData>
  <mergeCells count="13">
    <mergeCell ref="J3:K3"/>
    <mergeCell ref="B5:K5"/>
    <mergeCell ref="C90:E90"/>
    <mergeCell ref="C126:E126"/>
    <mergeCell ref="B149:B150"/>
    <mergeCell ref="C149:C150"/>
    <mergeCell ref="F3:G3"/>
    <mergeCell ref="H3:I3"/>
    <mergeCell ref="B2:B4"/>
    <mergeCell ref="C2:C4"/>
    <mergeCell ref="D2:D4"/>
    <mergeCell ref="E2:E4"/>
    <mergeCell ref="F2:K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5"/>
  <sheetViews>
    <sheetView topLeftCell="A34" workbookViewId="0">
      <selection activeCell="E56" sqref="E56"/>
    </sheetView>
  </sheetViews>
  <sheetFormatPr defaultColWidth="8.88671875" defaultRowHeight="13.8" x14ac:dyDescent="0.25"/>
  <cols>
    <col min="1" max="1" width="17" style="1637" customWidth="1"/>
    <col min="2" max="2" width="4.33203125" style="1750" customWidth="1"/>
    <col min="3" max="3" width="43" style="1637" customWidth="1"/>
    <col min="4" max="4" width="10.33203125" style="1747" customWidth="1"/>
    <col min="5" max="5" width="14" style="1637" customWidth="1"/>
    <col min="6" max="6" width="13.6640625" style="1637" customWidth="1"/>
    <col min="7" max="7" width="9.33203125" style="1637" customWidth="1"/>
    <col min="8" max="8" width="4.44140625" style="1637" customWidth="1"/>
    <col min="9" max="9" width="10.33203125" style="1637" customWidth="1"/>
    <col min="10" max="10" width="5.44140625" style="1637" customWidth="1"/>
    <col min="11" max="11" width="8.5546875" style="1637" customWidth="1"/>
    <col min="12" max="12" width="9" style="1637" customWidth="1"/>
    <col min="13" max="13" width="12.33203125" style="1637" customWidth="1"/>
    <col min="14" max="14" width="9.109375" style="1662" customWidth="1"/>
    <col min="15" max="15" width="13.44140625" style="1637" customWidth="1"/>
    <col min="16" max="16" width="16.109375" style="1637" customWidth="1"/>
    <col min="17" max="16384" width="8.88671875" style="1637"/>
  </cols>
  <sheetData>
    <row r="1" spans="2:16" x14ac:dyDescent="0.25">
      <c r="C1" s="1722"/>
      <c r="D1" s="1723"/>
      <c r="E1" s="1722"/>
      <c r="F1" s="1722"/>
      <c r="G1" s="1722"/>
      <c r="H1" s="1722"/>
      <c r="I1" s="1722"/>
      <c r="J1" s="1722"/>
      <c r="K1" s="1722"/>
      <c r="L1" s="1722"/>
      <c r="M1" s="1722"/>
      <c r="N1" s="1724"/>
      <c r="O1" s="1722"/>
      <c r="P1" s="1722"/>
    </row>
    <row r="2" spans="2:16" x14ac:dyDescent="0.25">
      <c r="B2" s="2476" t="s">
        <v>951</v>
      </c>
      <c r="C2" s="2477"/>
      <c r="D2" s="2477"/>
      <c r="E2" s="2477"/>
      <c r="F2" s="2477"/>
      <c r="G2" s="2477"/>
      <c r="H2" s="2477"/>
      <c r="I2" s="2477"/>
      <c r="J2" s="2477"/>
      <c r="K2" s="2477"/>
      <c r="L2" s="2477"/>
      <c r="M2" s="2477"/>
      <c r="N2" s="2478"/>
      <c r="O2" s="1722"/>
      <c r="P2" s="1722"/>
    </row>
    <row r="3" spans="2:16" ht="68.400000000000006" x14ac:dyDescent="0.25">
      <c r="B3" s="1749" t="s">
        <v>3</v>
      </c>
      <c r="C3" s="1687" t="s">
        <v>625</v>
      </c>
      <c r="D3" s="1681" t="s">
        <v>626</v>
      </c>
      <c r="E3" s="1681" t="s">
        <v>627</v>
      </c>
      <c r="F3" s="1725" t="s">
        <v>628</v>
      </c>
      <c r="G3" s="1725" t="s">
        <v>629</v>
      </c>
      <c r="H3" s="1725" t="s">
        <v>630</v>
      </c>
      <c r="I3" s="1681" t="s">
        <v>631</v>
      </c>
      <c r="J3" s="1681" t="s">
        <v>906</v>
      </c>
      <c r="K3" s="1681" t="s">
        <v>632</v>
      </c>
      <c r="L3" s="1681" t="s">
        <v>633</v>
      </c>
      <c r="M3" s="1681" t="s">
        <v>634</v>
      </c>
      <c r="N3" s="1681" t="s">
        <v>954</v>
      </c>
      <c r="O3" s="1722"/>
      <c r="P3" s="1722"/>
    </row>
    <row r="4" spans="2:16" s="1727" customFormat="1" x14ac:dyDescent="0.25">
      <c r="B4" s="1751"/>
      <c r="C4" s="2474" t="s">
        <v>635</v>
      </c>
      <c r="D4" s="2475"/>
      <c r="E4" s="2475"/>
      <c r="F4" s="2475"/>
      <c r="G4" s="2475"/>
      <c r="H4" s="2475"/>
      <c r="I4" s="2475"/>
      <c r="J4" s="2475"/>
      <c r="K4" s="2475"/>
      <c r="L4" s="2475"/>
      <c r="M4" s="2475"/>
      <c r="N4" s="2475"/>
      <c r="O4" s="1726"/>
      <c r="P4" s="1726"/>
    </row>
    <row r="5" spans="2:16" ht="40.799999999999997" x14ac:dyDescent="0.25">
      <c r="B5" s="1752">
        <v>1</v>
      </c>
      <c r="C5" s="1654" t="s">
        <v>907</v>
      </c>
      <c r="D5" s="1057" t="s">
        <v>636</v>
      </c>
      <c r="E5" s="1055" t="s">
        <v>637</v>
      </c>
      <c r="F5" s="1055" t="s">
        <v>638</v>
      </c>
      <c r="G5" s="1055" t="s">
        <v>639</v>
      </c>
      <c r="H5" s="1055">
        <v>45</v>
      </c>
      <c r="I5" s="1057" t="s">
        <v>636</v>
      </c>
      <c r="J5" s="1055">
        <v>2013</v>
      </c>
      <c r="K5" s="1684">
        <v>44115</v>
      </c>
      <c r="L5" s="1684">
        <v>43929</v>
      </c>
      <c r="M5" s="1728">
        <f>'[1]20. AAP Capacity Building'!N5</f>
        <v>100000</v>
      </c>
      <c r="N5" s="1055" t="s">
        <v>640</v>
      </c>
      <c r="O5" s="1729"/>
      <c r="P5" s="1730"/>
    </row>
    <row r="6" spans="2:16" ht="40.799999999999997" x14ac:dyDescent="0.25">
      <c r="B6" s="1752">
        <v>2</v>
      </c>
      <c r="C6" s="1655" t="s">
        <v>641</v>
      </c>
      <c r="D6" s="1057" t="s">
        <v>636</v>
      </c>
      <c r="E6" s="1055" t="s">
        <v>637</v>
      </c>
      <c r="F6" s="1055" t="s">
        <v>638</v>
      </c>
      <c r="G6" s="1055" t="s">
        <v>639</v>
      </c>
      <c r="H6" s="1057">
        <v>45</v>
      </c>
      <c r="I6" s="1057" t="s">
        <v>636</v>
      </c>
      <c r="J6" s="1055">
        <v>2013</v>
      </c>
      <c r="K6" s="1685">
        <v>43839</v>
      </c>
      <c r="L6" s="1685">
        <v>44019</v>
      </c>
      <c r="M6" s="1728">
        <f>'[1]20. AAP Capacity Building'!N6</f>
        <v>98000</v>
      </c>
      <c r="N6" s="1055" t="s">
        <v>640</v>
      </c>
      <c r="O6" s="1729"/>
      <c r="P6" s="1730"/>
    </row>
    <row r="7" spans="2:16" ht="20.399999999999999" x14ac:dyDescent="0.25">
      <c r="B7" s="1752">
        <v>3</v>
      </c>
      <c r="C7" s="1655" t="s">
        <v>908</v>
      </c>
      <c r="D7" s="1057" t="s">
        <v>636</v>
      </c>
      <c r="E7" s="1055" t="s">
        <v>643</v>
      </c>
      <c r="F7" s="1055" t="s">
        <v>638</v>
      </c>
      <c r="G7" s="1055" t="s">
        <v>639</v>
      </c>
      <c r="H7" s="1057">
        <v>45</v>
      </c>
      <c r="I7" s="1057" t="s">
        <v>636</v>
      </c>
      <c r="J7" s="1055">
        <v>2013</v>
      </c>
      <c r="K7" s="1685">
        <v>43839</v>
      </c>
      <c r="L7" s="1685">
        <v>44019</v>
      </c>
      <c r="M7" s="1728">
        <f>'[1]20. AAP Capacity Building'!N7</f>
        <v>18000</v>
      </c>
      <c r="N7" s="1055" t="s">
        <v>640</v>
      </c>
      <c r="O7" s="1729"/>
      <c r="P7" s="1730"/>
    </row>
    <row r="8" spans="2:16" ht="51" x14ac:dyDescent="0.25">
      <c r="B8" s="1752">
        <v>4</v>
      </c>
      <c r="C8" s="1654" t="s">
        <v>909</v>
      </c>
      <c r="D8" s="1056" t="s">
        <v>935</v>
      </c>
      <c r="E8" s="1055" t="s">
        <v>644</v>
      </c>
      <c r="F8" s="1055" t="s">
        <v>638</v>
      </c>
      <c r="G8" s="1055" t="s">
        <v>639</v>
      </c>
      <c r="H8" s="1055">
        <v>35</v>
      </c>
      <c r="I8" s="1056" t="s">
        <v>935</v>
      </c>
      <c r="J8" s="1055">
        <v>2013</v>
      </c>
      <c r="K8" s="1686">
        <v>44115</v>
      </c>
      <c r="L8" s="1686">
        <v>44019</v>
      </c>
      <c r="M8" s="1728">
        <f>'[1]20. AAP Capacity Building'!N8</f>
        <v>431000</v>
      </c>
      <c r="N8" s="1055" t="s">
        <v>640</v>
      </c>
      <c r="O8" s="1729"/>
      <c r="P8" s="1730"/>
    </row>
    <row r="9" spans="2:16" ht="31.2" customHeight="1" x14ac:dyDescent="0.25">
      <c r="B9" s="1752">
        <v>5</v>
      </c>
      <c r="C9" s="1656" t="s">
        <v>647</v>
      </c>
      <c r="D9" s="1056" t="s">
        <v>935</v>
      </c>
      <c r="E9" s="1055" t="s">
        <v>645</v>
      </c>
      <c r="F9" s="1055" t="s">
        <v>646</v>
      </c>
      <c r="G9" s="1055" t="s">
        <v>639</v>
      </c>
      <c r="H9" s="1055">
        <v>35</v>
      </c>
      <c r="I9" s="1056" t="s">
        <v>935</v>
      </c>
      <c r="J9" s="1055">
        <v>2013</v>
      </c>
      <c r="K9" s="1684">
        <v>44115</v>
      </c>
      <c r="L9" s="1684">
        <v>44019</v>
      </c>
      <c r="M9" s="1728">
        <f>'[1]20. AAP Capacity Building'!N9</f>
        <v>150000</v>
      </c>
      <c r="N9" s="1055" t="s">
        <v>640</v>
      </c>
      <c r="O9" s="1729"/>
      <c r="P9" s="1730"/>
    </row>
    <row r="10" spans="2:16" s="1734" customFormat="1" x14ac:dyDescent="0.25">
      <c r="B10" s="1753"/>
      <c r="C10" s="1690" t="s">
        <v>649</v>
      </c>
      <c r="D10" s="1634"/>
      <c r="E10" s="1634"/>
      <c r="F10" s="1634"/>
      <c r="G10" s="1634"/>
      <c r="H10" s="1634"/>
      <c r="I10" s="1634"/>
      <c r="J10" s="1634"/>
      <c r="K10" s="1634"/>
      <c r="L10" s="1634"/>
      <c r="M10" s="1731">
        <f>SUM(M5:M9)</f>
        <v>797000</v>
      </c>
      <c r="N10" s="1634"/>
      <c r="O10" s="1732"/>
      <c r="P10" s="1733"/>
    </row>
    <row r="11" spans="2:16" s="1727" customFormat="1" ht="20.399999999999999" x14ac:dyDescent="0.25">
      <c r="B11" s="1751"/>
      <c r="C11" s="1682" t="s">
        <v>650</v>
      </c>
      <c r="D11" s="1683"/>
      <c r="E11" s="1683"/>
      <c r="F11" s="1683"/>
      <c r="G11" s="1683"/>
      <c r="H11" s="1683"/>
      <c r="I11" s="1683"/>
      <c r="J11" s="1683"/>
      <c r="K11" s="1683"/>
      <c r="L11" s="1683"/>
      <c r="M11" s="1683"/>
      <c r="N11" s="1683"/>
      <c r="O11" s="1735"/>
      <c r="P11" s="1736"/>
    </row>
    <row r="12" spans="2:16" ht="45" customHeight="1" x14ac:dyDescent="0.25">
      <c r="B12" s="1752">
        <v>6</v>
      </c>
      <c r="C12" s="1654" t="s">
        <v>910</v>
      </c>
      <c r="D12" s="1057" t="s">
        <v>937</v>
      </c>
      <c r="E12" s="1055" t="s">
        <v>651</v>
      </c>
      <c r="F12" s="1055" t="s">
        <v>638</v>
      </c>
      <c r="G12" s="1055" t="s">
        <v>639</v>
      </c>
      <c r="H12" s="1055">
        <v>100</v>
      </c>
      <c r="I12" s="1057" t="s">
        <v>937</v>
      </c>
      <c r="J12" s="1055">
        <v>2013</v>
      </c>
      <c r="K12" s="1686">
        <v>44115</v>
      </c>
      <c r="L12" s="1686">
        <v>44019</v>
      </c>
      <c r="M12" s="1728">
        <f>'[1]20. AAP Capacity Building'!N12</f>
        <v>70000</v>
      </c>
      <c r="N12" s="1055" t="s">
        <v>640</v>
      </c>
      <c r="O12" s="1729"/>
      <c r="P12" s="1730"/>
    </row>
    <row r="13" spans="2:16" ht="30.6" x14ac:dyDescent="0.25">
      <c r="B13" s="1752">
        <v>7</v>
      </c>
      <c r="C13" s="1657" t="s">
        <v>911</v>
      </c>
      <c r="D13" s="1057" t="s">
        <v>937</v>
      </c>
      <c r="E13" s="1055" t="s">
        <v>651</v>
      </c>
      <c r="F13" s="1055" t="s">
        <v>638</v>
      </c>
      <c r="G13" s="1055" t="s">
        <v>639</v>
      </c>
      <c r="H13" s="1055">
        <v>30</v>
      </c>
      <c r="I13" s="1057" t="s">
        <v>937</v>
      </c>
      <c r="J13" s="1055">
        <v>2013</v>
      </c>
      <c r="K13" s="1685">
        <v>43839</v>
      </c>
      <c r="L13" s="1685">
        <v>44019</v>
      </c>
      <c r="M13" s="1728">
        <f>'[1]20. AAP Capacity Building'!N13</f>
        <v>50000</v>
      </c>
      <c r="N13" s="1055" t="s">
        <v>640</v>
      </c>
      <c r="O13" s="1729"/>
      <c r="P13" s="1730"/>
    </row>
    <row r="14" spans="2:16" ht="20.399999999999999" x14ac:dyDescent="0.25">
      <c r="B14" s="1752">
        <v>8</v>
      </c>
      <c r="C14" s="1655" t="s">
        <v>653</v>
      </c>
      <c r="D14" s="1057" t="s">
        <v>937</v>
      </c>
      <c r="E14" s="1055" t="s">
        <v>652</v>
      </c>
      <c r="F14" s="1055" t="s">
        <v>638</v>
      </c>
      <c r="G14" s="1055" t="s">
        <v>639</v>
      </c>
      <c r="H14" s="1055">
        <v>10</v>
      </c>
      <c r="I14" s="1057" t="s">
        <v>937</v>
      </c>
      <c r="J14" s="1055">
        <v>2013</v>
      </c>
      <c r="K14" s="1686">
        <v>44115</v>
      </c>
      <c r="L14" s="1686">
        <v>44019</v>
      </c>
      <c r="M14" s="1728">
        <f>'[1]20. AAP Capacity Building'!N14</f>
        <v>65000</v>
      </c>
      <c r="N14" s="1055" t="s">
        <v>640</v>
      </c>
      <c r="O14" s="1729"/>
      <c r="P14" s="1730"/>
    </row>
    <row r="15" spans="2:16" s="1734" customFormat="1" x14ac:dyDescent="0.25">
      <c r="B15" s="1753"/>
      <c r="C15" s="1690" t="s">
        <v>649</v>
      </c>
      <c r="D15" s="1634"/>
      <c r="E15" s="1634"/>
      <c r="F15" s="1634"/>
      <c r="G15" s="1634"/>
      <c r="H15" s="1634"/>
      <c r="I15" s="1634"/>
      <c r="J15" s="1634"/>
      <c r="K15" s="1634"/>
      <c r="L15" s="1634"/>
      <c r="M15" s="1731">
        <f>SUM(M12:M14)</f>
        <v>185000</v>
      </c>
      <c r="N15" s="1634"/>
      <c r="O15" s="1732"/>
      <c r="P15" s="1733"/>
    </row>
    <row r="16" spans="2:16" s="1727" customFormat="1" x14ac:dyDescent="0.25">
      <c r="B16" s="1751"/>
      <c r="C16" s="1682" t="s">
        <v>654</v>
      </c>
      <c r="D16" s="1683"/>
      <c r="E16" s="1683"/>
      <c r="F16" s="1683"/>
      <c r="G16" s="1683"/>
      <c r="H16" s="1683"/>
      <c r="I16" s="1683"/>
      <c r="J16" s="1683"/>
      <c r="K16" s="1683"/>
      <c r="L16" s="1683"/>
      <c r="M16" s="1683"/>
      <c r="N16" s="1683"/>
      <c r="O16" s="1735"/>
      <c r="P16" s="1736"/>
    </row>
    <row r="17" spans="2:16" ht="53.4" customHeight="1" x14ac:dyDescent="0.25">
      <c r="B17" s="1752">
        <v>9</v>
      </c>
      <c r="C17" s="1657" t="s">
        <v>912</v>
      </c>
      <c r="D17" s="1056" t="s">
        <v>655</v>
      </c>
      <c r="E17" s="1055" t="s">
        <v>644</v>
      </c>
      <c r="F17" s="1055" t="s">
        <v>656</v>
      </c>
      <c r="G17" s="1055" t="s">
        <v>639</v>
      </c>
      <c r="H17" s="1055">
        <v>80</v>
      </c>
      <c r="I17" s="1056" t="s">
        <v>655</v>
      </c>
      <c r="J17" s="1055">
        <v>2013</v>
      </c>
      <c r="K17" s="1684">
        <v>44115</v>
      </c>
      <c r="L17" s="1684">
        <v>43929</v>
      </c>
      <c r="M17" s="1728">
        <f>'[1]20. AAP Capacity Building'!N17</f>
        <v>145000</v>
      </c>
      <c r="N17" s="1055" t="s">
        <v>640</v>
      </c>
      <c r="O17" s="1729"/>
      <c r="P17" s="1730"/>
    </row>
    <row r="18" spans="2:16" ht="30.6" x14ac:dyDescent="0.25">
      <c r="B18" s="1752">
        <v>10</v>
      </c>
      <c r="C18" s="1657" t="s">
        <v>913</v>
      </c>
      <c r="D18" s="1056" t="s">
        <v>655</v>
      </c>
      <c r="E18" s="1055" t="s">
        <v>657</v>
      </c>
      <c r="F18" s="1055" t="s">
        <v>658</v>
      </c>
      <c r="G18" s="1055" t="s">
        <v>639</v>
      </c>
      <c r="H18" s="1055">
        <v>500</v>
      </c>
      <c r="I18" s="1056" t="s">
        <v>655</v>
      </c>
      <c r="J18" s="1055">
        <v>2013</v>
      </c>
      <c r="K18" s="1684">
        <v>44115</v>
      </c>
      <c r="L18" s="1684">
        <v>43929</v>
      </c>
      <c r="M18" s="1728">
        <f>'[1]20. AAP Capacity Building'!N18</f>
        <v>80000</v>
      </c>
      <c r="N18" s="1055" t="s">
        <v>640</v>
      </c>
      <c r="O18" s="1729"/>
      <c r="P18" s="1730"/>
    </row>
    <row r="19" spans="2:16" s="1734" customFormat="1" x14ac:dyDescent="0.25">
      <c r="B19" s="1753"/>
      <c r="C19" s="1690" t="s">
        <v>649</v>
      </c>
      <c r="D19" s="1634"/>
      <c r="E19" s="1634"/>
      <c r="F19" s="1634"/>
      <c r="G19" s="1634"/>
      <c r="H19" s="1634"/>
      <c r="I19" s="1634"/>
      <c r="J19" s="1634"/>
      <c r="K19" s="1634"/>
      <c r="L19" s="1634"/>
      <c r="M19" s="1731">
        <f>SUM(M17:M18)</f>
        <v>225000</v>
      </c>
      <c r="N19" s="1634"/>
      <c r="O19" s="1732"/>
      <c r="P19" s="1733"/>
    </row>
    <row r="20" spans="2:16" s="1727" customFormat="1" x14ac:dyDescent="0.25">
      <c r="B20" s="1751"/>
      <c r="C20" s="1682" t="s">
        <v>660</v>
      </c>
      <c r="D20" s="1683"/>
      <c r="E20" s="1683"/>
      <c r="F20" s="1683"/>
      <c r="G20" s="1683"/>
      <c r="H20" s="1683"/>
      <c r="I20" s="1683"/>
      <c r="J20" s="1683"/>
      <c r="K20" s="1683"/>
      <c r="L20" s="1683"/>
      <c r="M20" s="1683"/>
      <c r="N20" s="1683"/>
      <c r="O20" s="1735"/>
      <c r="P20" s="1736"/>
    </row>
    <row r="21" spans="2:16" ht="40.799999999999997" x14ac:dyDescent="0.25">
      <c r="B21" s="1752">
        <v>11</v>
      </c>
      <c r="C21" s="1657" t="s">
        <v>914</v>
      </c>
      <c r="D21" s="1056" t="s">
        <v>661</v>
      </c>
      <c r="E21" s="1055" t="s">
        <v>662</v>
      </c>
      <c r="F21" s="1055" t="s">
        <v>638</v>
      </c>
      <c r="G21" s="1055" t="s">
        <v>639</v>
      </c>
      <c r="H21" s="1055">
        <v>45</v>
      </c>
      <c r="I21" s="1056" t="s">
        <v>661</v>
      </c>
      <c r="J21" s="1055">
        <v>2013</v>
      </c>
      <c r="K21" s="1684">
        <v>44115</v>
      </c>
      <c r="L21" s="1684">
        <v>43929</v>
      </c>
      <c r="M21" s="1728">
        <f>'[1]20. AAP Capacity Building'!N21</f>
        <v>120000</v>
      </c>
      <c r="N21" s="1055" t="s">
        <v>640</v>
      </c>
      <c r="O21" s="1729"/>
      <c r="P21" s="1730"/>
    </row>
    <row r="22" spans="2:16" ht="30.6" x14ac:dyDescent="0.25">
      <c r="B22" s="1752">
        <v>12</v>
      </c>
      <c r="C22" s="1657" t="s">
        <v>915</v>
      </c>
      <c r="D22" s="1055" t="s">
        <v>663</v>
      </c>
      <c r="E22" s="1055" t="s">
        <v>664</v>
      </c>
      <c r="F22" s="1055" t="s">
        <v>638</v>
      </c>
      <c r="G22" s="1055" t="s">
        <v>639</v>
      </c>
      <c r="H22" s="1055">
        <v>45</v>
      </c>
      <c r="I22" s="1055" t="s">
        <v>663</v>
      </c>
      <c r="J22" s="1055">
        <v>2013</v>
      </c>
      <c r="K22" s="1684">
        <v>44115</v>
      </c>
      <c r="L22" s="1684">
        <v>43929</v>
      </c>
      <c r="M22" s="1728">
        <f>'[1]20. AAP Capacity Building'!N22</f>
        <v>100000</v>
      </c>
      <c r="N22" s="1055" t="s">
        <v>640</v>
      </c>
      <c r="O22" s="1729"/>
      <c r="P22" s="1730"/>
    </row>
    <row r="23" spans="2:16" s="1734" customFormat="1" x14ac:dyDescent="0.25">
      <c r="B23" s="1753"/>
      <c r="C23" s="1690" t="s">
        <v>649</v>
      </c>
      <c r="D23" s="1634"/>
      <c r="E23" s="1634"/>
      <c r="F23" s="1634"/>
      <c r="G23" s="1634"/>
      <c r="H23" s="1634"/>
      <c r="I23" s="1634"/>
      <c r="J23" s="1634"/>
      <c r="K23" s="1634"/>
      <c r="L23" s="1634"/>
      <c r="M23" s="1731">
        <f>SUM(M21:M22)</f>
        <v>220000</v>
      </c>
      <c r="N23" s="1634"/>
      <c r="O23" s="1732"/>
      <c r="P23" s="1733"/>
    </row>
    <row r="24" spans="2:16" s="1727" customFormat="1" x14ac:dyDescent="0.25">
      <c r="B24" s="1751"/>
      <c r="C24" s="1682" t="s">
        <v>916</v>
      </c>
      <c r="D24" s="1683"/>
      <c r="E24" s="1683"/>
      <c r="F24" s="1683"/>
      <c r="G24" s="1683"/>
      <c r="H24" s="1683"/>
      <c r="I24" s="1683"/>
      <c r="J24" s="1683"/>
      <c r="K24" s="1683"/>
      <c r="L24" s="1683"/>
      <c r="M24" s="1683"/>
      <c r="N24" s="1683"/>
      <c r="O24" s="1735"/>
      <c r="P24" s="1736"/>
    </row>
    <row r="25" spans="2:16" ht="35.4" customHeight="1" x14ac:dyDescent="0.25">
      <c r="B25" s="1752">
        <v>13</v>
      </c>
      <c r="C25" s="1657" t="s">
        <v>917</v>
      </c>
      <c r="D25" s="1057" t="s">
        <v>665</v>
      </c>
      <c r="E25" s="1055" t="s">
        <v>666</v>
      </c>
      <c r="F25" s="1055" t="s">
        <v>638</v>
      </c>
      <c r="G25" s="1055" t="s">
        <v>639</v>
      </c>
      <c r="H25" s="1055">
        <v>65</v>
      </c>
      <c r="I25" s="1057" t="s">
        <v>665</v>
      </c>
      <c r="J25" s="1055">
        <v>2013</v>
      </c>
      <c r="K25" s="1685">
        <v>43839</v>
      </c>
      <c r="L25" s="1685">
        <v>44019</v>
      </c>
      <c r="M25" s="1728">
        <f>'[1]20. AAP Capacity Building'!N25</f>
        <v>100000</v>
      </c>
      <c r="N25" s="1055" t="s">
        <v>640</v>
      </c>
      <c r="O25" s="1729"/>
      <c r="P25" s="1730"/>
    </row>
    <row r="26" spans="2:16" ht="40.799999999999997" x14ac:dyDescent="0.25">
      <c r="B26" s="1752">
        <v>14</v>
      </c>
      <c r="C26" s="1657" t="s">
        <v>918</v>
      </c>
      <c r="D26" s="1057" t="s">
        <v>665</v>
      </c>
      <c r="E26" s="1055" t="s">
        <v>666</v>
      </c>
      <c r="F26" s="1055" t="s">
        <v>638</v>
      </c>
      <c r="G26" s="1055" t="s">
        <v>639</v>
      </c>
      <c r="H26" s="1055">
        <v>20</v>
      </c>
      <c r="I26" s="1057" t="s">
        <v>665</v>
      </c>
      <c r="J26" s="1055">
        <v>2013</v>
      </c>
      <c r="K26" s="1685">
        <v>43839</v>
      </c>
      <c r="L26" s="1685">
        <v>44019</v>
      </c>
      <c r="M26" s="1728">
        <f>'[1]20. AAP Capacity Building'!N26</f>
        <v>60000</v>
      </c>
      <c r="N26" s="1055" t="s">
        <v>640</v>
      </c>
      <c r="O26" s="1729"/>
      <c r="P26" s="1730"/>
    </row>
    <row r="27" spans="2:16" s="1734" customFormat="1" x14ac:dyDescent="0.25">
      <c r="B27" s="1753"/>
      <c r="C27" s="1690" t="s">
        <v>649</v>
      </c>
      <c r="D27" s="1634"/>
      <c r="E27" s="1634"/>
      <c r="F27" s="1634"/>
      <c r="G27" s="1634"/>
      <c r="H27" s="1634"/>
      <c r="I27" s="1634"/>
      <c r="J27" s="1634"/>
      <c r="K27" s="1634"/>
      <c r="L27" s="1634"/>
      <c r="M27" s="1731">
        <f>SUM(M25:M26)</f>
        <v>160000</v>
      </c>
      <c r="N27" s="1634"/>
      <c r="O27" s="1732"/>
      <c r="P27" s="1733"/>
    </row>
    <row r="28" spans="2:16" s="1727" customFormat="1" x14ac:dyDescent="0.25">
      <c r="B28" s="1751"/>
      <c r="C28" s="1682" t="s">
        <v>919</v>
      </c>
      <c r="D28" s="1683"/>
      <c r="E28" s="1683"/>
      <c r="F28" s="1683"/>
      <c r="G28" s="1683"/>
      <c r="H28" s="1683"/>
      <c r="I28" s="1683"/>
      <c r="J28" s="1683"/>
      <c r="K28" s="1683"/>
      <c r="L28" s="1683"/>
      <c r="M28" s="1683"/>
      <c r="N28" s="1683"/>
      <c r="O28" s="1735"/>
      <c r="P28" s="1736"/>
    </row>
    <row r="29" spans="2:16" ht="30.6" x14ac:dyDescent="0.25">
      <c r="B29" s="1752">
        <v>15</v>
      </c>
      <c r="C29" s="1657" t="s">
        <v>920</v>
      </c>
      <c r="D29" s="1057" t="s">
        <v>667</v>
      </c>
      <c r="E29" s="1055" t="s">
        <v>668</v>
      </c>
      <c r="F29" s="1055" t="s">
        <v>638</v>
      </c>
      <c r="G29" s="1055" t="s">
        <v>639</v>
      </c>
      <c r="H29" s="1055">
        <v>15</v>
      </c>
      <c r="I29" s="1057" t="s">
        <v>667</v>
      </c>
      <c r="J29" s="1055">
        <v>2013</v>
      </c>
      <c r="K29" s="1684">
        <v>44115</v>
      </c>
      <c r="L29" s="1684">
        <v>43929</v>
      </c>
      <c r="M29" s="1728">
        <f>'[1]20. AAP Capacity Building'!N29</f>
        <v>75000</v>
      </c>
      <c r="N29" s="1055" t="s">
        <v>640</v>
      </c>
      <c r="O29" s="1729"/>
      <c r="P29" s="1730"/>
    </row>
    <row r="30" spans="2:16" s="1734" customFormat="1" x14ac:dyDescent="0.25">
      <c r="B30" s="1753"/>
      <c r="C30" s="1690" t="s">
        <v>649</v>
      </c>
      <c r="D30" s="1634"/>
      <c r="E30" s="1634"/>
      <c r="F30" s="1634"/>
      <c r="G30" s="1634"/>
      <c r="H30" s="1634"/>
      <c r="I30" s="1634"/>
      <c r="J30" s="1634"/>
      <c r="K30" s="1634"/>
      <c r="L30" s="1634"/>
      <c r="M30" s="1731">
        <f>M29</f>
        <v>75000</v>
      </c>
      <c r="N30" s="1634"/>
      <c r="O30" s="1732"/>
      <c r="P30" s="1733"/>
    </row>
    <row r="31" spans="2:16" s="1727" customFormat="1" x14ac:dyDescent="0.25">
      <c r="B31" s="1751"/>
      <c r="C31" s="1682" t="s">
        <v>921</v>
      </c>
      <c r="D31" s="1683"/>
      <c r="E31" s="1683"/>
      <c r="F31" s="1683"/>
      <c r="G31" s="1683"/>
      <c r="H31" s="1683"/>
      <c r="I31" s="1683"/>
      <c r="J31" s="1683"/>
      <c r="K31" s="1683"/>
      <c r="L31" s="1683"/>
      <c r="M31" s="1683"/>
      <c r="N31" s="1683"/>
      <c r="O31" s="1735"/>
      <c r="P31" s="1736"/>
    </row>
    <row r="32" spans="2:16" ht="30.6" x14ac:dyDescent="0.25">
      <c r="B32" s="1752">
        <v>16</v>
      </c>
      <c r="C32" s="1657" t="s">
        <v>922</v>
      </c>
      <c r="D32" s="1057" t="s">
        <v>669</v>
      </c>
      <c r="E32" s="1055" t="s">
        <v>668</v>
      </c>
      <c r="F32" s="1055" t="s">
        <v>638</v>
      </c>
      <c r="G32" s="1055" t="s">
        <v>639</v>
      </c>
      <c r="H32" s="1055">
        <v>15</v>
      </c>
      <c r="I32" s="1057" t="s">
        <v>669</v>
      </c>
      <c r="J32" s="1055">
        <v>2013</v>
      </c>
      <c r="K32" s="1684">
        <v>44115</v>
      </c>
      <c r="L32" s="1684">
        <v>43929</v>
      </c>
      <c r="M32" s="1728">
        <f>'[1]20. AAP Capacity Building'!N32</f>
        <v>60000</v>
      </c>
      <c r="N32" s="1055" t="s">
        <v>640</v>
      </c>
      <c r="O32" s="1729"/>
      <c r="P32" s="1730"/>
    </row>
    <row r="33" spans="2:16" s="1734" customFormat="1" x14ac:dyDescent="0.25">
      <c r="B33" s="1753"/>
      <c r="C33" s="1690" t="s">
        <v>649</v>
      </c>
      <c r="D33" s="1634"/>
      <c r="E33" s="1634"/>
      <c r="F33" s="1634"/>
      <c r="G33" s="1634"/>
      <c r="H33" s="1634"/>
      <c r="I33" s="1634"/>
      <c r="J33" s="1634"/>
      <c r="K33" s="1634"/>
      <c r="L33" s="1634"/>
      <c r="M33" s="1731">
        <f>SUM(M32:M32)</f>
        <v>60000</v>
      </c>
      <c r="N33" s="1634"/>
      <c r="O33" s="1732"/>
      <c r="P33" s="1733"/>
    </row>
    <row r="34" spans="2:16" s="1727" customFormat="1" x14ac:dyDescent="0.25">
      <c r="B34" s="1751"/>
      <c r="C34" s="1682" t="s">
        <v>923</v>
      </c>
      <c r="D34" s="1683"/>
      <c r="E34" s="1683"/>
      <c r="F34" s="1683"/>
      <c r="G34" s="1683"/>
      <c r="H34" s="1683"/>
      <c r="I34" s="1683"/>
      <c r="J34" s="1683"/>
      <c r="K34" s="1683"/>
      <c r="L34" s="1683"/>
      <c r="M34" s="1683"/>
      <c r="N34" s="1683"/>
      <c r="O34" s="1735"/>
      <c r="P34" s="1736"/>
    </row>
    <row r="35" spans="2:16" ht="54" customHeight="1" x14ac:dyDescent="0.25">
      <c r="B35" s="1752">
        <v>17</v>
      </c>
      <c r="C35" s="1654" t="s">
        <v>924</v>
      </c>
      <c r="D35" s="1056" t="s">
        <v>670</v>
      </c>
      <c r="E35" s="1055" t="s">
        <v>666</v>
      </c>
      <c r="F35" s="1055" t="s">
        <v>638</v>
      </c>
      <c r="G35" s="1055" t="s">
        <v>639</v>
      </c>
      <c r="H35" s="1055">
        <v>110</v>
      </c>
      <c r="I35" s="1056" t="s">
        <v>670</v>
      </c>
      <c r="J35" s="1055">
        <v>2013</v>
      </c>
      <c r="K35" s="1684">
        <v>44115</v>
      </c>
      <c r="L35" s="1684">
        <v>43929</v>
      </c>
      <c r="M35" s="1728">
        <f>'[1]20. AAP Capacity Building'!N35</f>
        <v>80000</v>
      </c>
      <c r="N35" s="1055" t="s">
        <v>640</v>
      </c>
      <c r="O35" s="1729"/>
      <c r="P35" s="1730"/>
    </row>
    <row r="36" spans="2:16" ht="40.799999999999997" x14ac:dyDescent="0.25">
      <c r="B36" s="1752">
        <v>18</v>
      </c>
      <c r="C36" s="1654" t="s">
        <v>925</v>
      </c>
      <c r="D36" s="1055" t="s">
        <v>670</v>
      </c>
      <c r="E36" s="1055" t="s">
        <v>666</v>
      </c>
      <c r="F36" s="1055" t="s">
        <v>638</v>
      </c>
      <c r="G36" s="1055" t="s">
        <v>639</v>
      </c>
      <c r="H36" s="1055">
        <v>110</v>
      </c>
      <c r="I36" s="1055" t="s">
        <v>670</v>
      </c>
      <c r="J36" s="1055">
        <v>2013</v>
      </c>
      <c r="K36" s="1684">
        <v>44115</v>
      </c>
      <c r="L36" s="1684">
        <v>43929</v>
      </c>
      <c r="M36" s="1728">
        <f>'[1]20. AAP Capacity Building'!N36</f>
        <v>60000</v>
      </c>
      <c r="N36" s="1055" t="s">
        <v>640</v>
      </c>
      <c r="O36" s="1729"/>
      <c r="P36" s="1730"/>
    </row>
    <row r="37" spans="2:16" ht="44.4" customHeight="1" x14ac:dyDescent="0.25">
      <c r="B37" s="1752">
        <v>19</v>
      </c>
      <c r="C37" s="1658" t="s">
        <v>926</v>
      </c>
      <c r="D37" s="1636" t="s">
        <v>927</v>
      </c>
      <c r="E37" s="1636" t="s">
        <v>928</v>
      </c>
      <c r="F37" s="1055" t="s">
        <v>638</v>
      </c>
      <c r="G37" s="1055" t="s">
        <v>639</v>
      </c>
      <c r="H37" s="1055">
        <v>150</v>
      </c>
      <c r="I37" s="1636" t="s">
        <v>927</v>
      </c>
      <c r="J37" s="1055">
        <v>2013</v>
      </c>
      <c r="K37" s="1684">
        <v>44115</v>
      </c>
      <c r="L37" s="1684">
        <v>43929</v>
      </c>
      <c r="M37" s="1728">
        <f>'[1]20. AAP Capacity Building'!N37</f>
        <v>140000</v>
      </c>
      <c r="N37" s="1055" t="s">
        <v>640</v>
      </c>
      <c r="O37" s="1729"/>
      <c r="P37" s="1730"/>
    </row>
    <row r="38" spans="2:16" ht="24" customHeight="1" x14ac:dyDescent="0.25">
      <c r="B38" s="1752">
        <v>20</v>
      </c>
      <c r="C38" s="1658" t="s">
        <v>929</v>
      </c>
      <c r="D38" s="1636" t="s">
        <v>927</v>
      </c>
      <c r="E38" s="1636" t="s">
        <v>930</v>
      </c>
      <c r="F38" s="1055" t="s">
        <v>646</v>
      </c>
      <c r="G38" s="1055" t="s">
        <v>639</v>
      </c>
      <c r="H38" s="1055">
        <v>40</v>
      </c>
      <c r="I38" s="1636" t="s">
        <v>927</v>
      </c>
      <c r="J38" s="1055">
        <v>2013</v>
      </c>
      <c r="K38" s="1684">
        <v>44115</v>
      </c>
      <c r="L38" s="1684">
        <v>43929</v>
      </c>
      <c r="M38" s="1728">
        <f>'[1]20. AAP Capacity Building'!N38</f>
        <v>60000</v>
      </c>
      <c r="N38" s="1055" t="s">
        <v>640</v>
      </c>
      <c r="O38" s="1729"/>
      <c r="P38" s="1730"/>
    </row>
    <row r="39" spans="2:16" s="1734" customFormat="1" x14ac:dyDescent="0.25">
      <c r="B39" s="1753"/>
      <c r="C39" s="1690" t="s">
        <v>649</v>
      </c>
      <c r="D39" s="1634"/>
      <c r="E39" s="1634"/>
      <c r="F39" s="1634"/>
      <c r="G39" s="1634"/>
      <c r="H39" s="1634"/>
      <c r="I39" s="1634"/>
      <c r="J39" s="1634"/>
      <c r="K39" s="1634"/>
      <c r="L39" s="1634"/>
      <c r="M39" s="1731">
        <f>SUM(M35:M38)</f>
        <v>340000</v>
      </c>
      <c r="N39" s="1634"/>
      <c r="O39" s="1732"/>
      <c r="P39" s="1733"/>
    </row>
    <row r="40" spans="2:16" s="1727" customFormat="1" x14ac:dyDescent="0.25">
      <c r="B40" s="1751"/>
      <c r="C40" s="1682" t="s">
        <v>952</v>
      </c>
      <c r="D40" s="1683"/>
      <c r="E40" s="1683"/>
      <c r="F40" s="1683"/>
      <c r="G40" s="1683"/>
      <c r="H40" s="1683"/>
      <c r="I40" s="1683"/>
      <c r="J40" s="1683"/>
      <c r="K40" s="1683"/>
      <c r="L40" s="1683"/>
      <c r="M40" s="1737"/>
      <c r="N40" s="1683"/>
      <c r="O40" s="1735"/>
      <c r="P40" s="1736"/>
    </row>
    <row r="41" spans="2:16" ht="22.8" customHeight="1" x14ac:dyDescent="0.25">
      <c r="B41" s="1752">
        <v>21</v>
      </c>
      <c r="C41" s="1657" t="s">
        <v>931</v>
      </c>
      <c r="D41" s="1057" t="s">
        <v>672</v>
      </c>
      <c r="E41" s="1056" t="s">
        <v>673</v>
      </c>
      <c r="F41" s="1055" t="s">
        <v>656</v>
      </c>
      <c r="G41" s="1055" t="s">
        <v>639</v>
      </c>
      <c r="H41" s="1055">
        <v>50</v>
      </c>
      <c r="I41" s="1057" t="s">
        <v>672</v>
      </c>
      <c r="J41" s="1055">
        <v>2013</v>
      </c>
      <c r="K41" s="1686">
        <v>44115</v>
      </c>
      <c r="L41" s="1686">
        <v>44019</v>
      </c>
      <c r="M41" s="1728">
        <f>'[1]20. AAP Capacity Building'!N41</f>
        <v>63000</v>
      </c>
      <c r="N41" s="1055" t="s">
        <v>674</v>
      </c>
      <c r="O41" s="1729"/>
      <c r="P41" s="1730"/>
    </row>
    <row r="42" spans="2:16" ht="24" customHeight="1" x14ac:dyDescent="0.25">
      <c r="B42" s="1752">
        <v>22</v>
      </c>
      <c r="C42" s="1654" t="s">
        <v>931</v>
      </c>
      <c r="D42" s="1055" t="s">
        <v>672</v>
      </c>
      <c r="E42" s="1056" t="s">
        <v>675</v>
      </c>
      <c r="F42" s="1055" t="s">
        <v>656</v>
      </c>
      <c r="G42" s="1055" t="s">
        <v>639</v>
      </c>
      <c r="H42" s="1055">
        <v>100</v>
      </c>
      <c r="I42" s="1055" t="s">
        <v>672</v>
      </c>
      <c r="J42" s="1055">
        <v>2013</v>
      </c>
      <c r="K42" s="1685">
        <v>43839</v>
      </c>
      <c r="L42" s="1685">
        <v>44019</v>
      </c>
      <c r="M42" s="1728">
        <f>'[1]20. AAP Capacity Building'!N42</f>
        <v>50000</v>
      </c>
      <c r="N42" s="1055" t="s">
        <v>674</v>
      </c>
      <c r="O42" s="1729"/>
      <c r="P42" s="1730"/>
    </row>
    <row r="43" spans="2:16" ht="30.6" x14ac:dyDescent="0.25">
      <c r="B43" s="1752">
        <v>23</v>
      </c>
      <c r="C43" s="1654" t="s">
        <v>932</v>
      </c>
      <c r="D43" s="1055" t="s">
        <v>672</v>
      </c>
      <c r="E43" s="1055" t="s">
        <v>676</v>
      </c>
      <c r="F43" s="1055" t="s">
        <v>659</v>
      </c>
      <c r="G43" s="1055" t="s">
        <v>639</v>
      </c>
      <c r="H43" s="1055">
        <v>50</v>
      </c>
      <c r="I43" s="1055" t="s">
        <v>672</v>
      </c>
      <c r="J43" s="1055">
        <v>2013</v>
      </c>
      <c r="K43" s="1685">
        <v>43839</v>
      </c>
      <c r="L43" s="1685">
        <v>44019</v>
      </c>
      <c r="M43" s="1728">
        <f>'[1]20. AAP Capacity Building'!N43</f>
        <v>50000</v>
      </c>
      <c r="N43" s="1055" t="s">
        <v>674</v>
      </c>
      <c r="O43" s="1729"/>
      <c r="P43" s="1730"/>
    </row>
    <row r="44" spans="2:16" s="1734" customFormat="1" x14ac:dyDescent="0.25">
      <c r="B44" s="1753"/>
      <c r="C44" s="1690" t="s">
        <v>677</v>
      </c>
      <c r="D44" s="1634"/>
      <c r="E44" s="1634"/>
      <c r="F44" s="1634"/>
      <c r="G44" s="1634"/>
      <c r="H44" s="1634"/>
      <c r="I44" s="1634"/>
      <c r="J44" s="1634"/>
      <c r="K44" s="1634"/>
      <c r="L44" s="1634"/>
      <c r="M44" s="1731">
        <f>SUM(M41:M43)</f>
        <v>163000</v>
      </c>
      <c r="N44" s="1634"/>
      <c r="O44" s="1732"/>
      <c r="P44" s="1738"/>
    </row>
    <row r="45" spans="2:16" s="1741" customFormat="1" x14ac:dyDescent="0.25">
      <c r="B45" s="1754"/>
      <c r="C45" s="1691" t="s">
        <v>678</v>
      </c>
      <c r="D45" s="1692"/>
      <c r="E45" s="1692"/>
      <c r="F45" s="1692"/>
      <c r="G45" s="1692"/>
      <c r="H45" s="1692"/>
      <c r="I45" s="1692"/>
      <c r="J45" s="1692"/>
      <c r="K45" s="1692"/>
      <c r="L45" s="1692"/>
      <c r="M45" s="1693">
        <f>M10+M15+M19+M23+M27+M30+M33+M39+M44</f>
        <v>2225000</v>
      </c>
      <c r="N45" s="1692" t="s">
        <v>674</v>
      </c>
      <c r="O45" s="1739"/>
      <c r="P45" s="1740"/>
    </row>
    <row r="46" spans="2:16" s="1741" customFormat="1" ht="20.399999999999999" x14ac:dyDescent="0.25">
      <c r="B46" s="1754"/>
      <c r="C46" s="1691" t="s">
        <v>679</v>
      </c>
      <c r="D46" s="1692"/>
      <c r="E46" s="1692" t="s">
        <v>680</v>
      </c>
      <c r="F46" s="1692"/>
      <c r="G46" s="1692" t="s">
        <v>681</v>
      </c>
      <c r="H46" s="1692"/>
      <c r="I46" s="1692" t="s">
        <v>671</v>
      </c>
      <c r="J46" s="1692">
        <v>2012</v>
      </c>
      <c r="K46" s="1694">
        <v>44115</v>
      </c>
      <c r="L46" s="1694">
        <v>43929</v>
      </c>
      <c r="M46" s="1695">
        <f>'[1]20. AAP Capacity Building'!N46</f>
        <v>2815160.02</v>
      </c>
      <c r="N46" s="1692" t="s">
        <v>30</v>
      </c>
      <c r="O46" s="1739"/>
      <c r="P46" s="1740"/>
    </row>
    <row r="47" spans="2:16" s="1700" customFormat="1" x14ac:dyDescent="0.25">
      <c r="B47" s="1755"/>
      <c r="C47" s="1697" t="s">
        <v>955</v>
      </c>
      <c r="D47" s="1698"/>
      <c r="E47" s="1698"/>
      <c r="F47" s="1698"/>
      <c r="G47" s="1698"/>
      <c r="H47" s="1698"/>
      <c r="I47" s="1698"/>
      <c r="J47" s="1698"/>
      <c r="K47" s="1698"/>
      <c r="L47" s="1698"/>
      <c r="M47" s="1699">
        <f>M45+M46</f>
        <v>5040160.0199999996</v>
      </c>
      <c r="N47" s="1698"/>
      <c r="O47" s="1742"/>
      <c r="P47" s="1743"/>
    </row>
    <row r="48" spans="2:16" x14ac:dyDescent="0.25">
      <c r="C48" s="1722"/>
      <c r="D48" s="1723"/>
      <c r="E48" s="1722"/>
      <c r="F48" s="1722"/>
      <c r="G48" s="1722"/>
      <c r="H48" s="1722"/>
      <c r="I48" s="1722"/>
      <c r="J48" s="1722"/>
      <c r="K48" s="1722"/>
      <c r="L48" s="1722"/>
      <c r="M48" s="1744"/>
      <c r="N48" s="1745"/>
      <c r="O48" s="1746"/>
      <c r="P48" s="1722"/>
    </row>
    <row r="49" spans="4:14" s="1637" customFormat="1" x14ac:dyDescent="0.25">
      <c r="D49" s="1747"/>
      <c r="N49" s="1748"/>
    </row>
    <row r="50" spans="4:14" s="1637" customFormat="1" x14ac:dyDescent="0.25">
      <c r="D50" s="1747"/>
      <c r="N50" s="1748"/>
    </row>
    <row r="51" spans="4:14" s="1637" customFormat="1" x14ac:dyDescent="0.25">
      <c r="D51" s="1747"/>
      <c r="N51" s="1748"/>
    </row>
    <row r="52" spans="4:14" s="1637" customFormat="1" x14ac:dyDescent="0.25">
      <c r="D52" s="1747"/>
      <c r="N52" s="1748"/>
    </row>
    <row r="53" spans="4:14" s="1637" customFormat="1" x14ac:dyDescent="0.25">
      <c r="N53" s="1748"/>
    </row>
    <row r="54" spans="4:14" s="1637" customFormat="1" x14ac:dyDescent="0.25">
      <c r="N54" s="1748"/>
    </row>
    <row r="55" spans="4:14" s="1637" customFormat="1" x14ac:dyDescent="0.25">
      <c r="N55" s="1748"/>
    </row>
    <row r="56" spans="4:14" s="1637" customFormat="1" x14ac:dyDescent="0.25">
      <c r="N56" s="1748"/>
    </row>
    <row r="57" spans="4:14" s="1637" customFormat="1" x14ac:dyDescent="0.25">
      <c r="N57" s="1748"/>
    </row>
    <row r="58" spans="4:14" s="1637" customFormat="1" x14ac:dyDescent="0.25">
      <c r="N58" s="1748"/>
    </row>
    <row r="59" spans="4:14" s="1637" customFormat="1" x14ac:dyDescent="0.25">
      <c r="N59" s="1748"/>
    </row>
    <row r="60" spans="4:14" s="1637" customFormat="1" x14ac:dyDescent="0.25">
      <c r="N60" s="1748"/>
    </row>
    <row r="61" spans="4:14" s="1637" customFormat="1" x14ac:dyDescent="0.25">
      <c r="N61" s="1748"/>
    </row>
    <row r="62" spans="4:14" s="1637" customFormat="1" x14ac:dyDescent="0.25">
      <c r="N62" s="1748"/>
    </row>
    <row r="63" spans="4:14" s="1637" customFormat="1" x14ac:dyDescent="0.25">
      <c r="N63" s="1748"/>
    </row>
    <row r="64" spans="4:14" s="1637" customFormat="1" x14ac:dyDescent="0.25">
      <c r="N64" s="1748"/>
    </row>
    <row r="65" spans="14:14" s="1637" customFormat="1" x14ac:dyDescent="0.25">
      <c r="N65" s="1748"/>
    </row>
  </sheetData>
  <mergeCells count="2">
    <mergeCell ref="C4:N4"/>
    <mergeCell ref="B2:N2"/>
  </mergeCells>
  <hyperlinks>
    <hyperlink ref="F3" r:id="rId1" location="Sheet3!_ftn1" display="Revised CIP,AMP&amp;amp;REP - Copy/Arbaminch  2011-2013 PP-Falized(revised)_1.xlsx - Sheet3!_ftn1"/>
    <hyperlink ref="G3" r:id="rId2" location="Sheet3!_ftn2" display="Revised CIP,AMP&amp;amp;REP - Copy\Arbaminch  2011-2013 PP-Falized(revised)_1.xlsx - Sheet3!_ftn2"/>
    <hyperlink ref="H3" r:id="rId3" location="Sheet3!_ftn3" display="Revised CIP,AMP&amp;amp;REP - Copy/Arbaminch  2011-2013 PP-Falized(revised)_1.xlsx - Sheet3!_ftn3"/>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9"/>
  <sheetViews>
    <sheetView topLeftCell="C37" zoomScale="120" zoomScaleNormal="120" workbookViewId="0">
      <selection activeCell="I12" sqref="I12"/>
    </sheetView>
  </sheetViews>
  <sheetFormatPr defaultColWidth="8.88671875" defaultRowHeight="14.4" x14ac:dyDescent="0.3"/>
  <cols>
    <col min="1" max="2" width="8.88671875" style="101"/>
    <col min="3" max="3" width="52.33203125" style="101" customWidth="1"/>
    <col min="4" max="4" width="9.109375" style="101" customWidth="1"/>
    <col min="5" max="5" width="13.88671875" style="101" customWidth="1"/>
    <col min="6" max="6" width="8.33203125" style="101" customWidth="1"/>
    <col min="7" max="7" width="6.109375" style="101" customWidth="1"/>
    <col min="8" max="8" width="9.33203125" style="101" customWidth="1"/>
    <col min="9" max="9" width="8.33203125" style="101" customWidth="1"/>
    <col min="10" max="10" width="10" style="926" bestFit="1" customWidth="1"/>
    <col min="11" max="11" width="10.33203125" style="926" customWidth="1"/>
    <col min="12" max="12" width="12.77734375" style="926" bestFit="1" customWidth="1"/>
    <col min="13" max="13" width="9.109375" style="101" customWidth="1"/>
    <col min="14" max="14" width="8.5546875" style="101" customWidth="1"/>
    <col min="15" max="15" width="9.6640625" style="101" customWidth="1"/>
    <col min="16" max="16" width="8.88671875" style="101"/>
    <col min="17" max="17" width="14.6640625" style="101" bestFit="1" customWidth="1"/>
    <col min="18" max="16384" width="8.88671875" style="101"/>
  </cols>
  <sheetData>
    <row r="2" spans="2:15" x14ac:dyDescent="0.3">
      <c r="B2" s="2481" t="s">
        <v>3</v>
      </c>
      <c r="C2" s="2484" t="s">
        <v>625</v>
      </c>
      <c r="D2" s="2485" t="s">
        <v>626</v>
      </c>
      <c r="E2" s="2485" t="s">
        <v>627</v>
      </c>
      <c r="F2" s="2487" t="s">
        <v>683</v>
      </c>
      <c r="G2" s="2488" t="s">
        <v>684</v>
      </c>
      <c r="H2" s="2488" t="s">
        <v>631</v>
      </c>
      <c r="I2" s="2483" t="s">
        <v>685</v>
      </c>
      <c r="J2" s="2483"/>
      <c r="K2" s="2483"/>
      <c r="L2" s="2483"/>
      <c r="M2" s="2483" t="s">
        <v>686</v>
      </c>
      <c r="N2" s="2479" t="s">
        <v>687</v>
      </c>
      <c r="O2" s="2479" t="s">
        <v>688</v>
      </c>
    </row>
    <row r="3" spans="2:15" ht="45" customHeight="1" x14ac:dyDescent="0.3">
      <c r="B3" s="2482"/>
      <c r="C3" s="2484"/>
      <c r="D3" s="2486"/>
      <c r="E3" s="2486"/>
      <c r="F3" s="2487"/>
      <c r="G3" s="2488"/>
      <c r="H3" s="2488"/>
      <c r="I3" s="1717" t="s">
        <v>18</v>
      </c>
      <c r="J3" s="1718" t="s">
        <v>19</v>
      </c>
      <c r="K3" s="1718" t="s">
        <v>20</v>
      </c>
      <c r="L3" s="1718" t="s">
        <v>21</v>
      </c>
      <c r="M3" s="2483"/>
      <c r="N3" s="2480"/>
      <c r="O3" s="2480"/>
    </row>
    <row r="4" spans="2:15" s="1700" customFormat="1" ht="13.8" x14ac:dyDescent="0.25">
      <c r="B4" s="1751"/>
      <c r="C4" s="1701" t="s">
        <v>635</v>
      </c>
      <c r="D4" s="1702"/>
      <c r="E4" s="1702"/>
      <c r="F4" s="1702"/>
      <c r="G4" s="1702"/>
      <c r="H4" s="1702"/>
      <c r="I4" s="1702"/>
      <c r="J4" s="1703"/>
      <c r="K4" s="1703"/>
      <c r="L4" s="1703"/>
      <c r="M4" s="1702"/>
      <c r="N4" s="1702"/>
      <c r="O4" s="1702"/>
    </row>
    <row r="5" spans="2:15" ht="20.399999999999999" x14ac:dyDescent="0.3">
      <c r="B5" s="1752">
        <v>1</v>
      </c>
      <c r="C5" s="1654" t="s">
        <v>907</v>
      </c>
      <c r="D5" s="1664" t="s">
        <v>636</v>
      </c>
      <c r="E5" s="1632" t="s">
        <v>933</v>
      </c>
      <c r="F5" s="1638" t="s">
        <v>639</v>
      </c>
      <c r="G5" s="1632">
        <v>65</v>
      </c>
      <c r="H5" s="1639" t="s">
        <v>636</v>
      </c>
      <c r="I5" s="1632"/>
      <c r="J5" s="1649">
        <v>50000</v>
      </c>
      <c r="K5" s="1665">
        <v>50000</v>
      </c>
      <c r="L5" s="1665"/>
      <c r="M5" s="1640" t="s">
        <v>689</v>
      </c>
      <c r="N5" s="1640" t="s">
        <v>640</v>
      </c>
      <c r="O5" s="1666">
        <f>I5+J5+K5+L5</f>
        <v>100000</v>
      </c>
    </row>
    <row r="6" spans="2:15" ht="40.799999999999997" x14ac:dyDescent="0.3">
      <c r="B6" s="1752">
        <v>2</v>
      </c>
      <c r="C6" s="1655" t="s">
        <v>641</v>
      </c>
      <c r="D6" s="1639" t="s">
        <v>636</v>
      </c>
      <c r="E6" s="1641" t="s">
        <v>934</v>
      </c>
      <c r="F6" s="1638" t="s">
        <v>639</v>
      </c>
      <c r="G6" s="1642">
        <v>45</v>
      </c>
      <c r="H6" s="1642" t="s">
        <v>636</v>
      </c>
      <c r="I6" s="1640"/>
      <c r="J6" s="1643">
        <v>0</v>
      </c>
      <c r="K6" s="1643">
        <v>78000</v>
      </c>
      <c r="L6" s="1643">
        <v>20000</v>
      </c>
      <c r="M6" s="1640" t="s">
        <v>689</v>
      </c>
      <c r="N6" s="1640" t="s">
        <v>640</v>
      </c>
      <c r="O6" s="1666">
        <f t="shared" ref="O6:O9" si="0">I6+J6+K6+L6</f>
        <v>98000</v>
      </c>
    </row>
    <row r="7" spans="2:15" ht="20.399999999999999" x14ac:dyDescent="0.3">
      <c r="B7" s="1752">
        <v>3</v>
      </c>
      <c r="C7" s="1655" t="s">
        <v>642</v>
      </c>
      <c r="D7" s="1639" t="s">
        <v>636</v>
      </c>
      <c r="E7" s="1638" t="s">
        <v>643</v>
      </c>
      <c r="F7" s="1638" t="s">
        <v>639</v>
      </c>
      <c r="G7" s="1642">
        <v>45</v>
      </c>
      <c r="H7" s="1642" t="s">
        <v>636</v>
      </c>
      <c r="I7" s="1640"/>
      <c r="J7" s="1643"/>
      <c r="K7" s="1643">
        <v>8000</v>
      </c>
      <c r="L7" s="1643">
        <v>10000</v>
      </c>
      <c r="M7" s="1640" t="s">
        <v>690</v>
      </c>
      <c r="N7" s="1640" t="s">
        <v>640</v>
      </c>
      <c r="O7" s="1666">
        <f t="shared" si="0"/>
        <v>18000</v>
      </c>
    </row>
    <row r="8" spans="2:15" ht="40.799999999999997" x14ac:dyDescent="0.3">
      <c r="B8" s="1752">
        <v>4</v>
      </c>
      <c r="C8" s="1654" t="s">
        <v>909</v>
      </c>
      <c r="D8" s="1633" t="s">
        <v>935</v>
      </c>
      <c r="E8" s="1632" t="s">
        <v>936</v>
      </c>
      <c r="F8" s="1638" t="s">
        <v>639</v>
      </c>
      <c r="G8" s="1640">
        <v>35</v>
      </c>
      <c r="H8" s="1644" t="s">
        <v>935</v>
      </c>
      <c r="I8" s="1644"/>
      <c r="J8" s="1645">
        <v>200000</v>
      </c>
      <c r="K8" s="1645">
        <v>200000</v>
      </c>
      <c r="L8" s="1645">
        <v>31000</v>
      </c>
      <c r="M8" s="1640" t="s">
        <v>690</v>
      </c>
      <c r="N8" s="1640" t="s">
        <v>640</v>
      </c>
      <c r="O8" s="1666">
        <f t="shared" si="0"/>
        <v>431000</v>
      </c>
    </row>
    <row r="9" spans="2:15" ht="30.6" x14ac:dyDescent="0.3">
      <c r="B9" s="1752">
        <v>5</v>
      </c>
      <c r="C9" s="1656" t="s">
        <v>647</v>
      </c>
      <c r="D9" s="1633" t="s">
        <v>648</v>
      </c>
      <c r="E9" s="1641" t="s">
        <v>645</v>
      </c>
      <c r="F9" s="1638" t="s">
        <v>639</v>
      </c>
      <c r="G9" s="1640">
        <v>60</v>
      </c>
      <c r="H9" s="1644" t="s">
        <v>648</v>
      </c>
      <c r="I9" s="1640"/>
      <c r="J9" s="1643">
        <v>100000</v>
      </c>
      <c r="K9" s="1643">
        <v>50000</v>
      </c>
      <c r="L9" s="1643">
        <v>0</v>
      </c>
      <c r="M9" s="1640" t="s">
        <v>689</v>
      </c>
      <c r="N9" s="1640" t="s">
        <v>640</v>
      </c>
      <c r="O9" s="1666">
        <f t="shared" si="0"/>
        <v>150000</v>
      </c>
    </row>
    <row r="10" spans="2:15" s="1648" customFormat="1" x14ac:dyDescent="0.3">
      <c r="B10" s="1753"/>
      <c r="C10" s="1659" t="s">
        <v>649</v>
      </c>
      <c r="D10" s="1646"/>
      <c r="E10" s="1646"/>
      <c r="F10" s="1646"/>
      <c r="G10" s="1667">
        <f>G5+G6+G7+G8+G9</f>
        <v>250</v>
      </c>
      <c r="H10" s="1667"/>
      <c r="I10" s="1668"/>
      <c r="J10" s="1677">
        <f t="shared" ref="J10:L10" si="1">J5+J6+J7+J8+J9</f>
        <v>350000</v>
      </c>
      <c r="K10" s="1677">
        <f t="shared" si="1"/>
        <v>386000</v>
      </c>
      <c r="L10" s="1677">
        <f t="shared" si="1"/>
        <v>61000</v>
      </c>
      <c r="M10" s="1677"/>
      <c r="N10" s="1677"/>
      <c r="O10" s="1677">
        <f>O5+O6+O7+O8+O9</f>
        <v>797000</v>
      </c>
    </row>
    <row r="11" spans="2:15" s="99" customFormat="1" x14ac:dyDescent="0.3">
      <c r="B11" s="1751"/>
      <c r="C11" s="1701" t="s">
        <v>650</v>
      </c>
      <c r="D11" s="1704"/>
      <c r="E11" s="1704"/>
      <c r="F11" s="1704"/>
      <c r="G11" s="1705"/>
      <c r="H11" s="1705"/>
      <c r="I11" s="1705"/>
      <c r="J11" s="1706"/>
      <c r="K11" s="1706"/>
      <c r="L11" s="1706"/>
      <c r="M11" s="1705"/>
      <c r="N11" s="1705"/>
      <c r="O11" s="1705"/>
    </row>
    <row r="12" spans="2:15" ht="40.799999999999997" x14ac:dyDescent="0.3">
      <c r="B12" s="1752">
        <v>6</v>
      </c>
      <c r="C12" s="1654" t="s">
        <v>910</v>
      </c>
      <c r="D12" s="1649" t="s">
        <v>937</v>
      </c>
      <c r="E12" s="1638" t="s">
        <v>651</v>
      </c>
      <c r="F12" s="1638" t="s">
        <v>639</v>
      </c>
      <c r="G12" s="1640">
        <v>100</v>
      </c>
      <c r="H12" s="1670" t="s">
        <v>953</v>
      </c>
      <c r="I12" s="1670"/>
      <c r="J12" s="1671">
        <v>10000</v>
      </c>
      <c r="K12" s="1671">
        <v>30000</v>
      </c>
      <c r="L12" s="1671">
        <v>30000</v>
      </c>
      <c r="M12" s="1670" t="s">
        <v>953</v>
      </c>
      <c r="N12" s="1640" t="s">
        <v>640</v>
      </c>
      <c r="O12" s="1671">
        <f>I12+J12+K12+L12</f>
        <v>70000</v>
      </c>
    </row>
    <row r="13" spans="2:15" ht="20.399999999999999" x14ac:dyDescent="0.3">
      <c r="B13" s="1752">
        <v>7</v>
      </c>
      <c r="C13" s="1657" t="s">
        <v>911</v>
      </c>
      <c r="D13" s="1650" t="s">
        <v>937</v>
      </c>
      <c r="E13" s="1638" t="s">
        <v>652</v>
      </c>
      <c r="F13" s="1638" t="s">
        <v>639</v>
      </c>
      <c r="G13" s="1640">
        <v>10</v>
      </c>
      <c r="H13" s="1670" t="s">
        <v>953</v>
      </c>
      <c r="I13" s="1672"/>
      <c r="J13" s="1643"/>
      <c r="K13" s="1643">
        <v>20000</v>
      </c>
      <c r="L13" s="1643">
        <v>30000</v>
      </c>
      <c r="M13" s="1670" t="s">
        <v>953</v>
      </c>
      <c r="N13" s="1640" t="s">
        <v>640</v>
      </c>
      <c r="O13" s="1671">
        <f t="shared" ref="O13:O14" si="2">I13+J13+K13+L13</f>
        <v>50000</v>
      </c>
    </row>
    <row r="14" spans="2:15" ht="20.399999999999999" x14ac:dyDescent="0.3">
      <c r="B14" s="1752">
        <v>8</v>
      </c>
      <c r="C14" s="1655" t="s">
        <v>653</v>
      </c>
      <c r="D14" s="1639" t="s">
        <v>937</v>
      </c>
      <c r="E14" s="1638" t="s">
        <v>652</v>
      </c>
      <c r="F14" s="1638" t="s">
        <v>639</v>
      </c>
      <c r="G14" s="1640">
        <v>140</v>
      </c>
      <c r="H14" s="1670" t="s">
        <v>953</v>
      </c>
      <c r="I14" s="1673"/>
      <c r="J14" s="1643">
        <v>10000</v>
      </c>
      <c r="K14" s="1643">
        <v>25000</v>
      </c>
      <c r="L14" s="1643">
        <v>30000</v>
      </c>
      <c r="M14" s="1670" t="s">
        <v>953</v>
      </c>
      <c r="N14" s="1640" t="s">
        <v>640</v>
      </c>
      <c r="O14" s="1671">
        <f t="shared" si="2"/>
        <v>65000</v>
      </c>
    </row>
    <row r="15" spans="2:15" s="1648" customFormat="1" x14ac:dyDescent="0.3">
      <c r="B15" s="1753"/>
      <c r="C15" s="1659" t="s">
        <v>649</v>
      </c>
      <c r="D15" s="1646"/>
      <c r="E15" s="1646"/>
      <c r="F15" s="1646"/>
      <c r="G15" s="1667"/>
      <c r="H15" s="1667"/>
      <c r="I15" s="1668"/>
      <c r="J15" s="1677">
        <f t="shared" ref="J15:L15" si="3">J12+J13+J14</f>
        <v>20000</v>
      </c>
      <c r="K15" s="1677">
        <f t="shared" si="3"/>
        <v>75000</v>
      </c>
      <c r="L15" s="1677">
        <f t="shared" si="3"/>
        <v>90000</v>
      </c>
      <c r="M15" s="1677"/>
      <c r="N15" s="1677"/>
      <c r="O15" s="1677">
        <f>O12+O13+O14</f>
        <v>185000</v>
      </c>
    </row>
    <row r="16" spans="2:15" s="99" customFormat="1" x14ac:dyDescent="0.3">
      <c r="B16" s="1751"/>
      <c r="C16" s="1701" t="s">
        <v>654</v>
      </c>
      <c r="D16" s="1704"/>
      <c r="E16" s="1704"/>
      <c r="F16" s="1704"/>
      <c r="G16" s="1705"/>
      <c r="H16" s="1705"/>
      <c r="I16" s="1707"/>
      <c r="J16" s="1706"/>
      <c r="K16" s="1706"/>
      <c r="L16" s="1706"/>
      <c r="M16" s="1705"/>
      <c r="N16" s="1705"/>
      <c r="O16" s="1705"/>
    </row>
    <row r="17" spans="2:18" ht="40.799999999999997" x14ac:dyDescent="0.3">
      <c r="B17" s="1752">
        <v>9</v>
      </c>
      <c r="C17" s="1657" t="s">
        <v>912</v>
      </c>
      <c r="D17" s="1635" t="s">
        <v>655</v>
      </c>
      <c r="E17" s="1635" t="s">
        <v>938</v>
      </c>
      <c r="F17" s="1638" t="s">
        <v>639</v>
      </c>
      <c r="G17" s="1640">
        <v>80</v>
      </c>
      <c r="H17" s="1674" t="s">
        <v>655</v>
      </c>
      <c r="I17" s="1673"/>
      <c r="J17" s="1643">
        <v>85000</v>
      </c>
      <c r="K17" s="1643">
        <v>60000</v>
      </c>
      <c r="L17" s="1643">
        <v>0</v>
      </c>
      <c r="M17" s="1640" t="s">
        <v>689</v>
      </c>
      <c r="N17" s="1640" t="s">
        <v>640</v>
      </c>
      <c r="O17" s="1671">
        <f>I17+J17+K17+L17</f>
        <v>145000</v>
      </c>
    </row>
    <row r="18" spans="2:18" ht="40.799999999999997" x14ac:dyDescent="0.3">
      <c r="B18" s="1752">
        <v>10</v>
      </c>
      <c r="C18" s="1657" t="s">
        <v>913</v>
      </c>
      <c r="D18" s="1635" t="s">
        <v>655</v>
      </c>
      <c r="E18" s="1635" t="s">
        <v>938</v>
      </c>
      <c r="F18" s="1638" t="s">
        <v>639</v>
      </c>
      <c r="G18" s="1640">
        <v>500</v>
      </c>
      <c r="H18" s="1674" t="s">
        <v>655</v>
      </c>
      <c r="I18" s="1673"/>
      <c r="J18" s="1643">
        <v>40000</v>
      </c>
      <c r="K18" s="1643">
        <v>40000</v>
      </c>
      <c r="L18" s="1643">
        <v>0</v>
      </c>
      <c r="M18" s="1640" t="s">
        <v>689</v>
      </c>
      <c r="N18" s="1640" t="s">
        <v>640</v>
      </c>
      <c r="O18" s="1671">
        <f>I18+J18+K18+L18</f>
        <v>80000</v>
      </c>
    </row>
    <row r="19" spans="2:18" s="1648" customFormat="1" x14ac:dyDescent="0.3">
      <c r="B19" s="1753"/>
      <c r="C19" s="1659" t="s">
        <v>649</v>
      </c>
      <c r="D19" s="1646"/>
      <c r="E19" s="1646"/>
      <c r="F19" s="1646"/>
      <c r="G19" s="1667"/>
      <c r="H19" s="1667"/>
      <c r="I19" s="1668"/>
      <c r="J19" s="1677">
        <f t="shared" ref="J19:L19" si="4">J17+J18</f>
        <v>125000</v>
      </c>
      <c r="K19" s="1677">
        <f t="shared" si="4"/>
        <v>100000</v>
      </c>
      <c r="L19" s="1677">
        <f t="shared" si="4"/>
        <v>0</v>
      </c>
      <c r="M19" s="1677"/>
      <c r="N19" s="1677"/>
      <c r="O19" s="1677">
        <f>O17+O18</f>
        <v>225000</v>
      </c>
    </row>
    <row r="20" spans="2:18" s="99" customFormat="1" x14ac:dyDescent="0.3">
      <c r="B20" s="1751"/>
      <c r="C20" s="1701" t="s">
        <v>660</v>
      </c>
      <c r="D20" s="1704"/>
      <c r="E20" s="1704"/>
      <c r="F20" s="1704"/>
      <c r="G20" s="1705"/>
      <c r="H20" s="1705"/>
      <c r="I20" s="1707"/>
      <c r="J20" s="1706"/>
      <c r="K20" s="1706"/>
      <c r="L20" s="1706"/>
      <c r="M20" s="1705"/>
      <c r="N20" s="1705"/>
      <c r="O20" s="1705"/>
    </row>
    <row r="21" spans="2:18" ht="20.399999999999999" x14ac:dyDescent="0.3">
      <c r="B21" s="1752">
        <v>11</v>
      </c>
      <c r="C21" s="1657" t="s">
        <v>914</v>
      </c>
      <c r="D21" s="1635" t="s">
        <v>648</v>
      </c>
      <c r="E21" s="1635" t="s">
        <v>939</v>
      </c>
      <c r="F21" s="1638" t="s">
        <v>639</v>
      </c>
      <c r="G21" s="1640">
        <v>45</v>
      </c>
      <c r="H21" s="1674" t="s">
        <v>661</v>
      </c>
      <c r="I21" s="1673"/>
      <c r="J21" s="1643">
        <v>60000</v>
      </c>
      <c r="K21" s="1643">
        <v>60000</v>
      </c>
      <c r="L21" s="1643">
        <v>0</v>
      </c>
      <c r="M21" s="1640" t="s">
        <v>689</v>
      </c>
      <c r="N21" s="1640" t="s">
        <v>640</v>
      </c>
      <c r="O21" s="1671">
        <f t="shared" ref="O21:O46" si="5">I21+J21+K21+L21</f>
        <v>120000</v>
      </c>
    </row>
    <row r="22" spans="2:18" ht="20.399999999999999" x14ac:dyDescent="0.3">
      <c r="B22" s="1752">
        <v>12</v>
      </c>
      <c r="C22" s="1657" t="s">
        <v>915</v>
      </c>
      <c r="D22" s="1635" t="s">
        <v>940</v>
      </c>
      <c r="E22" s="1635" t="s">
        <v>941</v>
      </c>
      <c r="F22" s="1638" t="s">
        <v>639</v>
      </c>
      <c r="G22" s="1640">
        <v>45</v>
      </c>
      <c r="H22" s="1640" t="s">
        <v>663</v>
      </c>
      <c r="I22" s="1673"/>
      <c r="J22" s="1643">
        <v>50000</v>
      </c>
      <c r="K22" s="1643">
        <v>50000</v>
      </c>
      <c r="L22" s="1643">
        <v>0</v>
      </c>
      <c r="M22" s="1640" t="s">
        <v>689</v>
      </c>
      <c r="N22" s="1640" t="s">
        <v>640</v>
      </c>
      <c r="O22" s="1671">
        <f t="shared" si="5"/>
        <v>100000</v>
      </c>
    </row>
    <row r="23" spans="2:18" s="1648" customFormat="1" x14ac:dyDescent="0.3">
      <c r="B23" s="1753"/>
      <c r="C23" s="1659" t="s">
        <v>649</v>
      </c>
      <c r="D23" s="1646"/>
      <c r="E23" s="1646"/>
      <c r="F23" s="1646"/>
      <c r="G23" s="1667"/>
      <c r="H23" s="1667"/>
      <c r="I23" s="1669">
        <f t="shared" ref="I23" si="6">SUM(I21:I22)</f>
        <v>0</v>
      </c>
      <c r="J23" s="1677">
        <f t="shared" ref="J23:L23" si="7">J21+J22</f>
        <v>110000</v>
      </c>
      <c r="K23" s="1677">
        <f t="shared" si="7"/>
        <v>110000</v>
      </c>
      <c r="L23" s="1677">
        <f t="shared" si="7"/>
        <v>0</v>
      </c>
      <c r="M23" s="1677"/>
      <c r="N23" s="1677"/>
      <c r="O23" s="1677">
        <f>O21+O22</f>
        <v>220000</v>
      </c>
    </row>
    <row r="24" spans="2:18" s="99" customFormat="1" x14ac:dyDescent="0.3">
      <c r="B24" s="1751"/>
      <c r="C24" s="1701" t="s">
        <v>916</v>
      </c>
      <c r="D24" s="1704"/>
      <c r="E24" s="1704"/>
      <c r="F24" s="1704"/>
      <c r="G24" s="1705"/>
      <c r="H24" s="1705"/>
      <c r="I24" s="1705"/>
      <c r="J24" s="1706"/>
      <c r="K24" s="1706"/>
      <c r="L24" s="1706"/>
      <c r="M24" s="1705"/>
      <c r="N24" s="1705"/>
      <c r="O24" s="1705"/>
    </row>
    <row r="25" spans="2:18" ht="30.6" x14ac:dyDescent="0.3">
      <c r="B25" s="1752">
        <v>13</v>
      </c>
      <c r="C25" s="1657" t="s">
        <v>917</v>
      </c>
      <c r="D25" s="1650" t="s">
        <v>942</v>
      </c>
      <c r="E25" s="1635" t="s">
        <v>939</v>
      </c>
      <c r="F25" s="1638" t="s">
        <v>639</v>
      </c>
      <c r="G25" s="1640">
        <v>65</v>
      </c>
      <c r="H25" s="1670" t="s">
        <v>665</v>
      </c>
      <c r="I25" s="1673"/>
      <c r="J25" s="1643"/>
      <c r="K25" s="1643">
        <v>50000</v>
      </c>
      <c r="L25" s="1643">
        <v>50000</v>
      </c>
      <c r="M25" s="1640" t="s">
        <v>689</v>
      </c>
      <c r="N25" s="1640" t="s">
        <v>640</v>
      </c>
      <c r="O25" s="1671">
        <f t="shared" si="5"/>
        <v>100000</v>
      </c>
    </row>
    <row r="26" spans="2:18" ht="20.399999999999999" x14ac:dyDescent="0.3">
      <c r="B26" s="1752">
        <v>14</v>
      </c>
      <c r="C26" s="1657" t="s">
        <v>918</v>
      </c>
      <c r="D26" s="1650" t="s">
        <v>665</v>
      </c>
      <c r="E26" s="1635" t="s">
        <v>941</v>
      </c>
      <c r="F26" s="1638"/>
      <c r="G26" s="1640"/>
      <c r="H26" s="1670"/>
      <c r="I26" s="1673"/>
      <c r="J26" s="1643"/>
      <c r="K26" s="1643">
        <v>30000</v>
      </c>
      <c r="L26" s="1643">
        <v>30000</v>
      </c>
      <c r="M26" s="1640" t="s">
        <v>689</v>
      </c>
      <c r="N26" s="1640" t="s">
        <v>640</v>
      </c>
      <c r="O26" s="1671">
        <f t="shared" si="5"/>
        <v>60000</v>
      </c>
    </row>
    <row r="27" spans="2:18" s="1648" customFormat="1" x14ac:dyDescent="0.3">
      <c r="B27" s="1753"/>
      <c r="C27" s="1659" t="s">
        <v>649</v>
      </c>
      <c r="D27" s="1646"/>
      <c r="E27" s="1646"/>
      <c r="F27" s="1646"/>
      <c r="G27" s="1667"/>
      <c r="H27" s="1667"/>
      <c r="I27" s="1668"/>
      <c r="J27" s="1669"/>
      <c r="K27" s="1677">
        <f t="shared" ref="K27:L27" si="8">K25+K26</f>
        <v>80000</v>
      </c>
      <c r="L27" s="1677">
        <f t="shared" si="8"/>
        <v>80000</v>
      </c>
      <c r="M27" s="1677"/>
      <c r="N27" s="1677"/>
      <c r="O27" s="1677">
        <f>O25+O26</f>
        <v>160000</v>
      </c>
      <c r="Q27" s="1647" t="s">
        <v>689</v>
      </c>
      <c r="R27" s="1647" t="s">
        <v>640</v>
      </c>
    </row>
    <row r="28" spans="2:18" s="99" customFormat="1" x14ac:dyDescent="0.3">
      <c r="B28" s="1751"/>
      <c r="C28" s="1701" t="s">
        <v>919</v>
      </c>
      <c r="D28" s="1704"/>
      <c r="E28" s="1704"/>
      <c r="F28" s="1704"/>
      <c r="G28" s="1705"/>
      <c r="H28" s="1705"/>
      <c r="I28" s="1705"/>
      <c r="J28" s="1706"/>
      <c r="K28" s="1706"/>
      <c r="L28" s="1706"/>
      <c r="M28" s="1705"/>
      <c r="N28" s="1705"/>
      <c r="O28" s="1705"/>
    </row>
    <row r="29" spans="2:18" ht="30.6" x14ac:dyDescent="0.3">
      <c r="B29" s="1752">
        <v>15</v>
      </c>
      <c r="C29" s="1657" t="s">
        <v>920</v>
      </c>
      <c r="D29" s="1650" t="s">
        <v>667</v>
      </c>
      <c r="E29" s="1651" t="s">
        <v>943</v>
      </c>
      <c r="F29" s="1638" t="s">
        <v>639</v>
      </c>
      <c r="G29" s="1640">
        <v>15</v>
      </c>
      <c r="H29" s="1670" t="s">
        <v>667</v>
      </c>
      <c r="I29" s="1673"/>
      <c r="J29" s="1643">
        <v>40000</v>
      </c>
      <c r="K29" s="1643">
        <v>35000</v>
      </c>
      <c r="L29" s="1643">
        <v>0</v>
      </c>
      <c r="M29" s="1640" t="s">
        <v>689</v>
      </c>
      <c r="N29" s="1640" t="s">
        <v>640</v>
      </c>
      <c r="O29" s="1671">
        <f t="shared" si="5"/>
        <v>75000</v>
      </c>
    </row>
    <row r="30" spans="2:18" s="1648" customFormat="1" x14ac:dyDescent="0.3">
      <c r="B30" s="1753"/>
      <c r="C30" s="1659" t="s">
        <v>649</v>
      </c>
      <c r="D30" s="1646"/>
      <c r="E30" s="1646"/>
      <c r="F30" s="1646"/>
      <c r="G30" s="1667"/>
      <c r="H30" s="1667"/>
      <c r="I30" s="1669">
        <f t="shared" ref="I30:L30" si="9">I29</f>
        <v>0</v>
      </c>
      <c r="J30" s="1677">
        <f t="shared" si="9"/>
        <v>40000</v>
      </c>
      <c r="K30" s="1677">
        <f t="shared" si="9"/>
        <v>35000</v>
      </c>
      <c r="L30" s="1677">
        <f t="shared" si="9"/>
        <v>0</v>
      </c>
      <c r="M30" s="1677"/>
      <c r="N30" s="1677"/>
      <c r="O30" s="1677">
        <f>O29</f>
        <v>75000</v>
      </c>
    </row>
    <row r="31" spans="2:18" s="99" customFormat="1" x14ac:dyDescent="0.3">
      <c r="B31" s="1751"/>
      <c r="C31" s="1701" t="s">
        <v>921</v>
      </c>
      <c r="D31" s="1704"/>
      <c r="E31" s="1704"/>
      <c r="F31" s="1704"/>
      <c r="G31" s="1705"/>
      <c r="H31" s="1705"/>
      <c r="I31" s="1705"/>
      <c r="J31" s="1706"/>
      <c r="K31" s="1706"/>
      <c r="L31" s="1706"/>
      <c r="M31" s="1705"/>
      <c r="N31" s="1705"/>
      <c r="O31" s="1705"/>
    </row>
    <row r="32" spans="2:18" ht="30.6" x14ac:dyDescent="0.3">
      <c r="B32" s="1752">
        <v>16</v>
      </c>
      <c r="C32" s="1657" t="s">
        <v>922</v>
      </c>
      <c r="D32" s="1650" t="s">
        <v>669</v>
      </c>
      <c r="E32" s="1635" t="s">
        <v>944</v>
      </c>
      <c r="F32" s="1638" t="s">
        <v>639</v>
      </c>
      <c r="G32" s="1640">
        <v>15</v>
      </c>
      <c r="H32" s="1670" t="s">
        <v>669</v>
      </c>
      <c r="I32" s="1673"/>
      <c r="J32" s="1643">
        <v>30000</v>
      </c>
      <c r="K32" s="1643">
        <v>30000</v>
      </c>
      <c r="L32" s="1643">
        <v>0</v>
      </c>
      <c r="M32" s="1640" t="s">
        <v>689</v>
      </c>
      <c r="N32" s="1640" t="s">
        <v>640</v>
      </c>
      <c r="O32" s="1671">
        <f t="shared" si="5"/>
        <v>60000</v>
      </c>
    </row>
    <row r="33" spans="2:17" s="1648" customFormat="1" x14ac:dyDescent="0.3">
      <c r="B33" s="1753"/>
      <c r="C33" s="1659" t="s">
        <v>649</v>
      </c>
      <c r="D33" s="1646"/>
      <c r="E33" s="1646"/>
      <c r="F33" s="1646"/>
      <c r="G33" s="1667"/>
      <c r="H33" s="1667"/>
      <c r="I33" s="1677">
        <f t="shared" ref="I33:L33" si="10">I32</f>
        <v>0</v>
      </c>
      <c r="J33" s="1677">
        <f t="shared" si="10"/>
        <v>30000</v>
      </c>
      <c r="K33" s="1677">
        <f t="shared" si="10"/>
        <v>30000</v>
      </c>
      <c r="L33" s="1677">
        <f t="shared" si="10"/>
        <v>0</v>
      </c>
      <c r="M33" s="1677"/>
      <c r="N33" s="1677"/>
      <c r="O33" s="1677">
        <f>O32</f>
        <v>60000</v>
      </c>
    </row>
    <row r="34" spans="2:17" s="99" customFormat="1" x14ac:dyDescent="0.3">
      <c r="B34" s="1751"/>
      <c r="C34" s="1701" t="s">
        <v>923</v>
      </c>
      <c r="D34" s="1704"/>
      <c r="E34" s="1704"/>
      <c r="F34" s="1704"/>
      <c r="G34" s="1705"/>
      <c r="H34" s="1705"/>
      <c r="I34" s="1705"/>
      <c r="J34" s="1706"/>
      <c r="K34" s="1706"/>
      <c r="L34" s="1706"/>
      <c r="M34" s="1705"/>
      <c r="N34" s="1705"/>
      <c r="O34" s="1705"/>
    </row>
    <row r="35" spans="2:17" ht="51" x14ac:dyDescent="0.3">
      <c r="B35" s="1752">
        <v>17</v>
      </c>
      <c r="C35" s="1654" t="s">
        <v>924</v>
      </c>
      <c r="D35" s="1632" t="s">
        <v>670</v>
      </c>
      <c r="E35" s="1632" t="s">
        <v>945</v>
      </c>
      <c r="F35" s="1638" t="s">
        <v>639</v>
      </c>
      <c r="G35" s="1640">
        <v>110</v>
      </c>
      <c r="H35" s="1674" t="s">
        <v>670</v>
      </c>
      <c r="I35" s="1674"/>
      <c r="J35" s="1675">
        <v>40000</v>
      </c>
      <c r="K35" s="1675">
        <v>40000</v>
      </c>
      <c r="L35" s="1675">
        <v>0</v>
      </c>
      <c r="M35" s="1640" t="s">
        <v>691</v>
      </c>
      <c r="N35" s="1640" t="s">
        <v>640</v>
      </c>
      <c r="O35" s="1671">
        <f t="shared" si="5"/>
        <v>80000</v>
      </c>
    </row>
    <row r="36" spans="2:17" ht="20.399999999999999" x14ac:dyDescent="0.3">
      <c r="B36" s="1752">
        <v>18</v>
      </c>
      <c r="C36" s="1654" t="s">
        <v>925</v>
      </c>
      <c r="D36" s="1632" t="s">
        <v>670</v>
      </c>
      <c r="E36" s="1632" t="s">
        <v>946</v>
      </c>
      <c r="F36" s="1638" t="s">
        <v>639</v>
      </c>
      <c r="G36" s="1640">
        <v>110</v>
      </c>
      <c r="H36" s="1640" t="s">
        <v>670</v>
      </c>
      <c r="I36" s="1673"/>
      <c r="J36" s="1643">
        <v>30000</v>
      </c>
      <c r="K36" s="1643">
        <v>30000</v>
      </c>
      <c r="L36" s="1643">
        <v>0</v>
      </c>
      <c r="M36" s="1640" t="s">
        <v>691</v>
      </c>
      <c r="N36" s="1640" t="s">
        <v>640</v>
      </c>
      <c r="O36" s="1671">
        <f t="shared" si="5"/>
        <v>60000</v>
      </c>
    </row>
    <row r="37" spans="2:17" ht="40.799999999999997" x14ac:dyDescent="0.3">
      <c r="B37" s="1752">
        <v>19</v>
      </c>
      <c r="C37" s="1658" t="s">
        <v>926</v>
      </c>
      <c r="D37" s="1636" t="s">
        <v>927</v>
      </c>
      <c r="E37" s="1636" t="s">
        <v>928</v>
      </c>
      <c r="F37" s="1638" t="s">
        <v>639</v>
      </c>
      <c r="G37" s="1719">
        <v>150</v>
      </c>
      <c r="H37" s="1636" t="s">
        <v>927</v>
      </c>
      <c r="I37" s="1720"/>
      <c r="J37" s="1721">
        <v>50000</v>
      </c>
      <c r="K37" s="1721">
        <v>50000</v>
      </c>
      <c r="L37" s="1721">
        <v>40000</v>
      </c>
      <c r="M37" s="1720" t="s">
        <v>947</v>
      </c>
      <c r="N37" s="1640" t="s">
        <v>640</v>
      </c>
      <c r="O37" s="1671">
        <f t="shared" si="5"/>
        <v>140000</v>
      </c>
    </row>
    <row r="38" spans="2:17" ht="20.399999999999999" x14ac:dyDescent="0.3">
      <c r="B38" s="1752">
        <v>20</v>
      </c>
      <c r="C38" s="1658" t="s">
        <v>929</v>
      </c>
      <c r="D38" s="1636" t="s">
        <v>927</v>
      </c>
      <c r="E38" s="1636" t="s">
        <v>930</v>
      </c>
      <c r="F38" s="1638" t="s">
        <v>639</v>
      </c>
      <c r="G38" s="1719">
        <v>40</v>
      </c>
      <c r="H38" s="1636" t="s">
        <v>927</v>
      </c>
      <c r="I38" s="1720"/>
      <c r="J38" s="1721">
        <v>30000</v>
      </c>
      <c r="K38" s="1721">
        <v>30000</v>
      </c>
      <c r="L38" s="1721"/>
      <c r="M38" s="1720" t="s">
        <v>947</v>
      </c>
      <c r="N38" s="1640" t="s">
        <v>640</v>
      </c>
      <c r="O38" s="1671">
        <f t="shared" si="5"/>
        <v>60000</v>
      </c>
    </row>
    <row r="39" spans="2:17" s="1648" customFormat="1" x14ac:dyDescent="0.3">
      <c r="B39" s="1753"/>
      <c r="C39" s="1659" t="s">
        <v>649</v>
      </c>
      <c r="D39" s="1646"/>
      <c r="E39" s="1646"/>
      <c r="F39" s="1646"/>
      <c r="G39" s="1667"/>
      <c r="H39" s="1667"/>
      <c r="I39" s="1677">
        <f t="shared" ref="I39:L39" si="11">I35+I36+I37+I38</f>
        <v>0</v>
      </c>
      <c r="J39" s="1677">
        <f t="shared" si="11"/>
        <v>150000</v>
      </c>
      <c r="K39" s="1677">
        <f t="shared" si="11"/>
        <v>150000</v>
      </c>
      <c r="L39" s="1677">
        <f t="shared" si="11"/>
        <v>40000</v>
      </c>
      <c r="M39" s="1677"/>
      <c r="N39" s="1677"/>
      <c r="O39" s="1677">
        <f>O35+O36+O37+O38</f>
        <v>340000</v>
      </c>
    </row>
    <row r="40" spans="2:17" s="99" customFormat="1" x14ac:dyDescent="0.3">
      <c r="B40" s="1751"/>
      <c r="C40" s="1660" t="s">
        <v>952</v>
      </c>
      <c r="D40" s="1652"/>
      <c r="E40" s="1708"/>
      <c r="F40" s="1708"/>
      <c r="G40" s="1709"/>
      <c r="H40" s="1676"/>
      <c r="I40" s="1676"/>
      <c r="J40" s="1676"/>
      <c r="K40" s="1676"/>
      <c r="L40" s="1676"/>
      <c r="M40" s="1676"/>
      <c r="N40" s="1676"/>
      <c r="O40" s="1710"/>
    </row>
    <row r="41" spans="2:17" ht="20.399999999999999" x14ac:dyDescent="0.3">
      <c r="B41" s="1752">
        <v>21</v>
      </c>
      <c r="C41" s="1657" t="s">
        <v>931</v>
      </c>
      <c r="D41" s="1649" t="s">
        <v>672</v>
      </c>
      <c r="E41" s="1632" t="s">
        <v>948</v>
      </c>
      <c r="F41" s="1638" t="s">
        <v>639</v>
      </c>
      <c r="G41" s="1640">
        <v>100</v>
      </c>
      <c r="H41" s="1640" t="s">
        <v>672</v>
      </c>
      <c r="I41" s="1670"/>
      <c r="J41" s="1671">
        <v>10000</v>
      </c>
      <c r="K41" s="1671">
        <v>22000</v>
      </c>
      <c r="L41" s="1671">
        <v>31000</v>
      </c>
      <c r="M41" s="1640" t="s">
        <v>692</v>
      </c>
      <c r="N41" s="1640" t="s">
        <v>674</v>
      </c>
      <c r="O41" s="1671">
        <f t="shared" si="5"/>
        <v>63000</v>
      </c>
    </row>
    <row r="42" spans="2:17" ht="20.399999999999999" x14ac:dyDescent="0.3">
      <c r="B42" s="1752">
        <v>22</v>
      </c>
      <c r="C42" s="1654" t="s">
        <v>931</v>
      </c>
      <c r="D42" s="1632" t="s">
        <v>672</v>
      </c>
      <c r="E42" s="1632" t="s">
        <v>949</v>
      </c>
      <c r="F42" s="1638" t="s">
        <v>639</v>
      </c>
      <c r="G42" s="1640">
        <v>50</v>
      </c>
      <c r="H42" s="1640" t="s">
        <v>672</v>
      </c>
      <c r="I42" s="1670"/>
      <c r="J42" s="1671"/>
      <c r="K42" s="1671">
        <v>30000</v>
      </c>
      <c r="L42" s="1671">
        <v>20000</v>
      </c>
      <c r="M42" s="1640" t="s">
        <v>692</v>
      </c>
      <c r="N42" s="1640" t="s">
        <v>674</v>
      </c>
      <c r="O42" s="1671">
        <f t="shared" si="5"/>
        <v>50000</v>
      </c>
    </row>
    <row r="43" spans="2:17" ht="20.399999999999999" x14ac:dyDescent="0.3">
      <c r="B43" s="1752">
        <v>23</v>
      </c>
      <c r="C43" s="1654" t="s">
        <v>932</v>
      </c>
      <c r="D43" s="1632" t="s">
        <v>672</v>
      </c>
      <c r="E43" s="1632" t="s">
        <v>676</v>
      </c>
      <c r="F43" s="1638" t="s">
        <v>639</v>
      </c>
      <c r="G43" s="1640">
        <v>50</v>
      </c>
      <c r="H43" s="1640" t="s">
        <v>672</v>
      </c>
      <c r="I43" s="1670"/>
      <c r="J43" s="1671"/>
      <c r="K43" s="1671">
        <v>30000</v>
      </c>
      <c r="L43" s="1671">
        <v>20000</v>
      </c>
      <c r="M43" s="1640" t="s">
        <v>692</v>
      </c>
      <c r="N43" s="1640" t="s">
        <v>674</v>
      </c>
      <c r="O43" s="1671">
        <f t="shared" si="5"/>
        <v>50000</v>
      </c>
    </row>
    <row r="44" spans="2:17" s="1648" customFormat="1" x14ac:dyDescent="0.3">
      <c r="B44" s="1663"/>
      <c r="C44" s="1659" t="s">
        <v>677</v>
      </c>
      <c r="D44" s="1646"/>
      <c r="E44" s="1646"/>
      <c r="F44" s="1646"/>
      <c r="G44" s="1667"/>
      <c r="H44" s="1667"/>
      <c r="I44" s="1677">
        <f t="shared" ref="I44:L44" si="12">I41+I42+I43</f>
        <v>0</v>
      </c>
      <c r="J44" s="1677">
        <f t="shared" si="12"/>
        <v>10000</v>
      </c>
      <c r="K44" s="1677">
        <f t="shared" si="12"/>
        <v>82000</v>
      </c>
      <c r="L44" s="1677">
        <f t="shared" si="12"/>
        <v>71000</v>
      </c>
      <c r="M44" s="1677"/>
      <c r="N44" s="1677"/>
      <c r="O44" s="1677">
        <f>O41+O42+O43</f>
        <v>163000</v>
      </c>
    </row>
    <row r="45" spans="2:17" s="1689" customFormat="1" x14ac:dyDescent="0.3">
      <c r="B45" s="1688"/>
      <c r="C45" s="1660" t="s">
        <v>678</v>
      </c>
      <c r="D45" s="1652"/>
      <c r="E45" s="1652"/>
      <c r="F45" s="1652"/>
      <c r="G45" s="1676"/>
      <c r="H45" s="1676"/>
      <c r="I45" s="1710">
        <f t="shared" ref="I45:N45" si="13">I10+I15+I19+I23+I27+I30+I33+I39+I44</f>
        <v>0</v>
      </c>
      <c r="J45" s="1710">
        <f t="shared" si="13"/>
        <v>835000</v>
      </c>
      <c r="K45" s="1710">
        <f t="shared" si="13"/>
        <v>1048000</v>
      </c>
      <c r="L45" s="1710">
        <f t="shared" si="13"/>
        <v>342000</v>
      </c>
      <c r="M45" s="1710">
        <f t="shared" si="13"/>
        <v>0</v>
      </c>
      <c r="N45" s="1710">
        <f t="shared" si="13"/>
        <v>0</v>
      </c>
      <c r="O45" s="1710">
        <f>O10+O15+O19+O23+O27+O30+O33+O39+O44</f>
        <v>2225000</v>
      </c>
    </row>
    <row r="46" spans="2:17" s="99" customFormat="1" ht="20.399999999999999" x14ac:dyDescent="0.3">
      <c r="B46" s="1696"/>
      <c r="C46" s="1711" t="s">
        <v>679</v>
      </c>
      <c r="D46" s="1712"/>
      <c r="E46" s="1712" t="s">
        <v>680</v>
      </c>
      <c r="F46" s="1712" t="s">
        <v>681</v>
      </c>
      <c r="G46" s="1713"/>
      <c r="H46" s="1713" t="s">
        <v>671</v>
      </c>
      <c r="I46" s="1714">
        <v>0</v>
      </c>
      <c r="J46" s="1714">
        <v>2815160.02</v>
      </c>
      <c r="K46" s="1714">
        <v>0</v>
      </c>
      <c r="L46" s="1714">
        <v>0</v>
      </c>
      <c r="M46" s="1715" t="s">
        <v>691</v>
      </c>
      <c r="N46" s="1715" t="s">
        <v>950</v>
      </c>
      <c r="O46" s="1714">
        <f t="shared" si="5"/>
        <v>2815160.02</v>
      </c>
      <c r="Q46" s="1716">
        <v>2225000</v>
      </c>
    </row>
    <row r="47" spans="2:17" s="99" customFormat="1" x14ac:dyDescent="0.3">
      <c r="B47" s="1696"/>
      <c r="C47" s="1661" t="s">
        <v>682</v>
      </c>
      <c r="D47" s="1653"/>
      <c r="E47" s="1653"/>
      <c r="F47" s="1653"/>
      <c r="G47" s="1678"/>
      <c r="H47" s="1678"/>
      <c r="I47" s="1679">
        <f>I45+I46</f>
        <v>0</v>
      </c>
      <c r="J47" s="1679">
        <f>J45+J46</f>
        <v>3650160.02</v>
      </c>
      <c r="K47" s="1679">
        <f>K45+K46</f>
        <v>1048000</v>
      </c>
      <c r="L47" s="1679">
        <f>L45+L46</f>
        <v>342000</v>
      </c>
      <c r="M47" s="1678"/>
      <c r="N47" s="1678"/>
      <c r="O47" s="1680">
        <f>O45+O46</f>
        <v>5040160.0199999996</v>
      </c>
      <c r="Q47" s="1716">
        <f>Q46-O45</f>
        <v>0</v>
      </c>
    </row>
    <row r="49" spans="10:17" x14ac:dyDescent="0.3">
      <c r="J49" s="101"/>
      <c r="K49" s="101"/>
      <c r="L49" s="288">
        <f>J45+K45+L45</f>
        <v>2225000</v>
      </c>
    </row>
    <row r="50" spans="10:17" x14ac:dyDescent="0.3">
      <c r="J50" s="101"/>
      <c r="K50" s="101"/>
      <c r="L50" s="101"/>
      <c r="Q50" s="101">
        <v>5040160.0199999996</v>
      </c>
    </row>
    <row r="51" spans="10:17" x14ac:dyDescent="0.3">
      <c r="J51" s="101"/>
      <c r="K51" s="101"/>
      <c r="L51" s="101"/>
      <c r="Q51" s="170">
        <f>Q50-O47</f>
        <v>0</v>
      </c>
    </row>
    <row r="52" spans="10:17" x14ac:dyDescent="0.3">
      <c r="J52" s="101"/>
      <c r="K52" s="101"/>
      <c r="L52" s="101"/>
    </row>
    <row r="53" spans="10:17" x14ac:dyDescent="0.3">
      <c r="J53" s="101"/>
      <c r="K53" s="101"/>
      <c r="L53" s="101"/>
    </row>
    <row r="54" spans="10:17" x14ac:dyDescent="0.3">
      <c r="J54" s="101"/>
      <c r="K54" s="101"/>
      <c r="L54" s="101"/>
    </row>
    <row r="55" spans="10:17" x14ac:dyDescent="0.3">
      <c r="J55" s="101"/>
      <c r="K55" s="101"/>
      <c r="L55" s="101"/>
    </row>
    <row r="56" spans="10:17" x14ac:dyDescent="0.3">
      <c r="J56" s="101"/>
      <c r="K56" s="101"/>
      <c r="L56" s="101"/>
    </row>
    <row r="57" spans="10:17" x14ac:dyDescent="0.3">
      <c r="J57" s="101"/>
      <c r="K57" s="101"/>
      <c r="L57" s="101"/>
    </row>
    <row r="58" spans="10:17" x14ac:dyDescent="0.3">
      <c r="J58" s="101"/>
      <c r="K58" s="101"/>
      <c r="L58" s="101"/>
    </row>
    <row r="59" spans="10:17" x14ac:dyDescent="0.3">
      <c r="J59" s="101"/>
      <c r="K59" s="101"/>
      <c r="L59" s="101"/>
    </row>
  </sheetData>
  <mergeCells count="11">
    <mergeCell ref="N2:N3"/>
    <mergeCell ref="O2:O3"/>
    <mergeCell ref="B2:B3"/>
    <mergeCell ref="M2:M3"/>
    <mergeCell ref="C2:C3"/>
    <mergeCell ref="E2:E3"/>
    <mergeCell ref="F2:F3"/>
    <mergeCell ref="G2:G3"/>
    <mergeCell ref="H2:H3"/>
    <mergeCell ref="I2:L2"/>
    <mergeCell ref="D2: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workbookViewId="0">
      <selection activeCell="G23" sqref="G22:G23"/>
    </sheetView>
  </sheetViews>
  <sheetFormatPr defaultRowHeight="14.4" x14ac:dyDescent="0.3"/>
  <cols>
    <col min="1" max="1" width="8.88671875" style="66"/>
    <col min="3" max="3" width="22.5546875" customWidth="1"/>
    <col min="4" max="4" width="9" customWidth="1"/>
    <col min="7" max="7" width="17.109375" style="880" customWidth="1"/>
    <col min="8" max="8" width="13.109375" style="886" customWidth="1"/>
  </cols>
  <sheetData>
    <row r="1" spans="2:14" s="66" customFormat="1" x14ac:dyDescent="0.3">
      <c r="G1" s="880"/>
      <c r="H1" s="886"/>
    </row>
    <row r="2" spans="2:14" s="66" customFormat="1" ht="15.6" x14ac:dyDescent="0.3">
      <c r="B2" s="874" t="s">
        <v>591</v>
      </c>
      <c r="G2" s="880"/>
      <c r="H2" s="886"/>
    </row>
    <row r="3" spans="2:14" s="66" customFormat="1" ht="15" thickBot="1" x14ac:dyDescent="0.35">
      <c r="G3" s="880"/>
      <c r="H3" s="886"/>
    </row>
    <row r="4" spans="2:14" ht="16.2" thickBot="1" x14ac:dyDescent="0.35">
      <c r="B4" s="2004" t="s">
        <v>0</v>
      </c>
      <c r="C4" s="875"/>
      <c r="D4" s="2006" t="s">
        <v>572</v>
      </c>
      <c r="E4" s="2007"/>
      <c r="F4" s="2008"/>
      <c r="G4" s="2009" t="s">
        <v>354</v>
      </c>
      <c r="H4" s="2010"/>
    </row>
    <row r="5" spans="2:14" ht="31.8" thickBot="1" x14ac:dyDescent="0.35">
      <c r="B5" s="2005"/>
      <c r="C5" s="876" t="s">
        <v>573</v>
      </c>
      <c r="D5" s="876" t="s">
        <v>574</v>
      </c>
      <c r="E5" s="876" t="s">
        <v>166</v>
      </c>
      <c r="F5" s="876" t="s">
        <v>575</v>
      </c>
      <c r="G5" s="884" t="s">
        <v>576</v>
      </c>
      <c r="H5" s="887" t="s">
        <v>577</v>
      </c>
    </row>
    <row r="6" spans="2:14" ht="16.2" thickBot="1" x14ac:dyDescent="0.35">
      <c r="B6" s="877">
        <v>1</v>
      </c>
      <c r="C6" s="878" t="s">
        <v>578</v>
      </c>
      <c r="D6" s="879">
        <v>5</v>
      </c>
      <c r="E6" s="879">
        <v>2</v>
      </c>
      <c r="F6" s="879">
        <f>D6+E6</f>
        <v>7</v>
      </c>
      <c r="G6" s="881">
        <f>F6/F20</f>
        <v>2.4822695035460994E-2</v>
      </c>
      <c r="H6" s="888">
        <f>E6/F6</f>
        <v>0.2857142857142857</v>
      </c>
    </row>
    <row r="7" spans="2:14" ht="16.2" thickBot="1" x14ac:dyDescent="0.35">
      <c r="B7" s="877">
        <v>2</v>
      </c>
      <c r="C7" s="878" t="s">
        <v>579</v>
      </c>
      <c r="D7" s="879">
        <v>11</v>
      </c>
      <c r="E7" s="879">
        <v>6</v>
      </c>
      <c r="F7" s="879">
        <f t="shared" ref="F7:F19" si="0">D7+E7</f>
        <v>17</v>
      </c>
      <c r="G7" s="881">
        <f>F7/F20</f>
        <v>6.0283687943262408E-2</v>
      </c>
      <c r="H7" s="888">
        <f t="shared" ref="H7:H18" si="1">E7/F7</f>
        <v>0.35294117647058826</v>
      </c>
    </row>
    <row r="8" spans="2:14" ht="16.2" thickBot="1" x14ac:dyDescent="0.35">
      <c r="B8" s="877">
        <v>3</v>
      </c>
      <c r="C8" s="878" t="s">
        <v>580</v>
      </c>
      <c r="D8" s="879">
        <v>9</v>
      </c>
      <c r="E8" s="879">
        <v>25</v>
      </c>
      <c r="F8" s="879">
        <f t="shared" si="0"/>
        <v>34</v>
      </c>
      <c r="G8" s="881">
        <f>F8/F20</f>
        <v>0.12056737588652482</v>
      </c>
      <c r="H8" s="888">
        <f t="shared" si="1"/>
        <v>0.73529411764705888</v>
      </c>
      <c r="K8">
        <v>32</v>
      </c>
      <c r="L8">
        <v>1</v>
      </c>
      <c r="M8">
        <v>19</v>
      </c>
      <c r="N8">
        <f>K8++L8</f>
        <v>33</v>
      </c>
    </row>
    <row r="9" spans="2:14" ht="16.2" thickBot="1" x14ac:dyDescent="0.35">
      <c r="B9" s="877">
        <v>4</v>
      </c>
      <c r="C9" s="878" t="s">
        <v>581</v>
      </c>
      <c r="D9" s="879">
        <v>5</v>
      </c>
      <c r="E9" s="879">
        <v>3</v>
      </c>
      <c r="F9" s="879">
        <f t="shared" si="0"/>
        <v>8</v>
      </c>
      <c r="G9" s="881">
        <f>F9/F20</f>
        <v>2.8368794326241134E-2</v>
      </c>
      <c r="H9" s="888">
        <f t="shared" si="1"/>
        <v>0.375</v>
      </c>
      <c r="K9">
        <v>14</v>
      </c>
      <c r="L9">
        <v>3</v>
      </c>
      <c r="M9">
        <v>9</v>
      </c>
      <c r="N9" s="1860">
        <f t="shared" ref="N9:N13" si="2">K9++L9</f>
        <v>17</v>
      </c>
    </row>
    <row r="10" spans="2:14" ht="16.2" thickBot="1" x14ac:dyDescent="0.35">
      <c r="B10" s="877">
        <v>5</v>
      </c>
      <c r="C10" s="878" t="s">
        <v>582</v>
      </c>
      <c r="D10" s="879">
        <v>12</v>
      </c>
      <c r="E10" s="879">
        <v>22</v>
      </c>
      <c r="F10" s="879">
        <f t="shared" si="0"/>
        <v>34</v>
      </c>
      <c r="G10" s="881">
        <f>F10/F20</f>
        <v>0.12056737588652482</v>
      </c>
      <c r="H10" s="888">
        <f t="shared" si="1"/>
        <v>0.6470588235294118</v>
      </c>
      <c r="K10">
        <v>40</v>
      </c>
      <c r="L10">
        <v>13</v>
      </c>
      <c r="M10">
        <v>27</v>
      </c>
      <c r="N10" s="1860">
        <f t="shared" si="2"/>
        <v>53</v>
      </c>
    </row>
    <row r="11" spans="2:14" ht="16.2" thickBot="1" x14ac:dyDescent="0.35">
      <c r="B11" s="877">
        <v>6</v>
      </c>
      <c r="C11" s="878" t="s">
        <v>583</v>
      </c>
      <c r="D11" s="879">
        <v>12</v>
      </c>
      <c r="E11" s="879">
        <v>13</v>
      </c>
      <c r="F11" s="879">
        <f t="shared" si="0"/>
        <v>25</v>
      </c>
      <c r="G11" s="881">
        <f>F11/F20</f>
        <v>8.8652482269503549E-2</v>
      </c>
      <c r="H11" s="888">
        <f t="shared" si="1"/>
        <v>0.52</v>
      </c>
      <c r="K11">
        <v>20</v>
      </c>
      <c r="L11">
        <v>8</v>
      </c>
      <c r="M11">
        <v>30</v>
      </c>
      <c r="N11" s="1860">
        <f t="shared" si="2"/>
        <v>28</v>
      </c>
    </row>
    <row r="12" spans="2:14" ht="16.2" thickBot="1" x14ac:dyDescent="0.35">
      <c r="B12" s="877">
        <v>7</v>
      </c>
      <c r="C12" s="878" t="s">
        <v>584</v>
      </c>
      <c r="D12" s="879">
        <v>0</v>
      </c>
      <c r="E12" s="879">
        <v>35</v>
      </c>
      <c r="F12" s="879">
        <f t="shared" si="0"/>
        <v>35</v>
      </c>
      <c r="G12" s="881">
        <f>F12/F20</f>
        <v>0.12411347517730496</v>
      </c>
      <c r="H12" s="888">
        <f>E12/F12</f>
        <v>1</v>
      </c>
      <c r="K12">
        <v>6</v>
      </c>
      <c r="L12">
        <v>4</v>
      </c>
      <c r="M12">
        <v>6</v>
      </c>
      <c r="N12" s="1860">
        <f t="shared" si="2"/>
        <v>10</v>
      </c>
    </row>
    <row r="13" spans="2:14" ht="16.2" thickBot="1" x14ac:dyDescent="0.35">
      <c r="B13" s="877">
        <v>8</v>
      </c>
      <c r="C13" s="878" t="s">
        <v>585</v>
      </c>
      <c r="D13" s="879">
        <v>15</v>
      </c>
      <c r="E13" s="879">
        <v>18</v>
      </c>
      <c r="F13" s="879">
        <f t="shared" si="0"/>
        <v>33</v>
      </c>
      <c r="G13" s="881">
        <f>F13/F20</f>
        <v>0.11702127659574468</v>
      </c>
      <c r="H13" s="888">
        <f t="shared" si="1"/>
        <v>0.54545454545454541</v>
      </c>
      <c r="K13">
        <v>25</v>
      </c>
      <c r="L13">
        <v>11</v>
      </c>
      <c r="M13">
        <v>14</v>
      </c>
      <c r="N13" s="1860">
        <f t="shared" si="2"/>
        <v>36</v>
      </c>
    </row>
    <row r="14" spans="2:14" ht="16.2" thickBot="1" x14ac:dyDescent="0.35">
      <c r="B14" s="877">
        <v>9</v>
      </c>
      <c r="C14" s="878" t="s">
        <v>586</v>
      </c>
      <c r="D14" s="879">
        <v>15</v>
      </c>
      <c r="E14" s="879">
        <v>19</v>
      </c>
      <c r="F14" s="879">
        <f t="shared" si="0"/>
        <v>34</v>
      </c>
      <c r="G14" s="881">
        <f>F14/F20</f>
        <v>0.12056737588652482</v>
      </c>
      <c r="H14" s="888">
        <f t="shared" si="1"/>
        <v>0.55882352941176472</v>
      </c>
      <c r="K14">
        <f>SUM(K8:K13)</f>
        <v>137</v>
      </c>
      <c r="L14" s="1860">
        <f t="shared" ref="L14:M14" si="3">SUM(L8:L13)</f>
        <v>40</v>
      </c>
      <c r="M14" s="1860">
        <f t="shared" si="3"/>
        <v>105</v>
      </c>
      <c r="N14" s="1860">
        <f>SUM(N8:N13)</f>
        <v>177</v>
      </c>
    </row>
    <row r="15" spans="2:14" ht="31.8" thickBot="1" x14ac:dyDescent="0.35">
      <c r="B15" s="877">
        <v>10</v>
      </c>
      <c r="C15" s="878" t="s">
        <v>992</v>
      </c>
      <c r="D15" s="879">
        <v>5</v>
      </c>
      <c r="E15" s="879">
        <v>4</v>
      </c>
      <c r="F15" s="879">
        <f t="shared" si="0"/>
        <v>9</v>
      </c>
      <c r="G15" s="881">
        <f>F15/F20</f>
        <v>3.1914893617021274E-2</v>
      </c>
      <c r="H15" s="888">
        <f t="shared" si="1"/>
        <v>0.44444444444444442</v>
      </c>
    </row>
    <row r="16" spans="2:14" ht="16.2" thickBot="1" x14ac:dyDescent="0.35">
      <c r="B16" s="877">
        <v>11</v>
      </c>
      <c r="C16" s="878" t="s">
        <v>587</v>
      </c>
      <c r="D16" s="879">
        <v>12</v>
      </c>
      <c r="E16" s="879">
        <v>25</v>
      </c>
      <c r="F16" s="879">
        <f t="shared" si="0"/>
        <v>37</v>
      </c>
      <c r="G16" s="881">
        <f>F16/F20</f>
        <v>0.13120567375886524</v>
      </c>
      <c r="H16" s="888">
        <f t="shared" si="1"/>
        <v>0.67567567567567566</v>
      </c>
    </row>
    <row r="17" spans="2:8" ht="16.2" thickBot="1" x14ac:dyDescent="0.35">
      <c r="B17" s="877">
        <v>12</v>
      </c>
      <c r="C17" s="878" t="s">
        <v>588</v>
      </c>
      <c r="D17" s="879">
        <v>3</v>
      </c>
      <c r="E17" s="879">
        <v>3</v>
      </c>
      <c r="F17" s="879">
        <f t="shared" si="0"/>
        <v>6</v>
      </c>
      <c r="G17" s="881">
        <f>F17/F20</f>
        <v>2.1276595744680851E-2</v>
      </c>
      <c r="H17" s="888">
        <f t="shared" si="1"/>
        <v>0.5</v>
      </c>
    </row>
    <row r="18" spans="2:8" ht="16.2" thickBot="1" x14ac:dyDescent="0.35">
      <c r="B18" s="877">
        <v>13</v>
      </c>
      <c r="C18" s="878" t="s">
        <v>589</v>
      </c>
      <c r="D18" s="879">
        <v>1</v>
      </c>
      <c r="E18" s="879">
        <v>2</v>
      </c>
      <c r="F18" s="879">
        <f t="shared" si="0"/>
        <v>3</v>
      </c>
      <c r="G18" s="881">
        <f>F18/F20</f>
        <v>1.0638297872340425E-2</v>
      </c>
      <c r="H18" s="888">
        <f t="shared" si="1"/>
        <v>0.66666666666666663</v>
      </c>
    </row>
    <row r="19" spans="2:8" ht="16.2" thickBot="1" x14ac:dyDescent="0.35">
      <c r="B19" s="882"/>
      <c r="C19" s="878"/>
      <c r="D19" s="879"/>
      <c r="E19" s="879"/>
      <c r="F19" s="1861">
        <f t="shared" si="0"/>
        <v>0</v>
      </c>
      <c r="G19" s="885"/>
      <c r="H19" s="888"/>
    </row>
    <row r="20" spans="2:8" ht="16.2" thickBot="1" x14ac:dyDescent="0.35">
      <c r="B20" s="2011" t="s">
        <v>590</v>
      </c>
      <c r="C20" s="2012"/>
      <c r="D20" s="883">
        <f>SUM(D6:D19)</f>
        <v>105</v>
      </c>
      <c r="E20" s="883">
        <f>SUM(E6:E19)</f>
        <v>177</v>
      </c>
      <c r="F20" s="879">
        <f>SUM(F6:F19)</f>
        <v>282</v>
      </c>
      <c r="G20" s="881">
        <f>SUM(G6:G19)</f>
        <v>1</v>
      </c>
      <c r="H20" s="889">
        <f>E20/F20</f>
        <v>0.62765957446808507</v>
      </c>
    </row>
  </sheetData>
  <mergeCells count="4">
    <mergeCell ref="B4:B5"/>
    <mergeCell ref="D4:F4"/>
    <mergeCell ref="G4:H4"/>
    <mergeCell ref="B20:C20"/>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B11" sqref="B11:C11"/>
    </sheetView>
  </sheetViews>
  <sheetFormatPr defaultRowHeight="14.4" x14ac:dyDescent="0.3"/>
  <cols>
    <col min="1" max="1" width="8.88671875" style="66"/>
    <col min="3" max="3" width="43" customWidth="1"/>
    <col min="7" max="7" width="14.6640625" customWidth="1"/>
    <col min="8" max="8" width="15.5546875" customWidth="1"/>
  </cols>
  <sheetData>
    <row r="1" spans="2:8" s="66" customFormat="1" x14ac:dyDescent="0.3"/>
    <row r="2" spans="2:8" s="66" customFormat="1" ht="18" x14ac:dyDescent="0.3">
      <c r="B2" s="874" t="s">
        <v>905</v>
      </c>
    </row>
    <row r="3" spans="2:8" s="66" customFormat="1" ht="15" thickBot="1" x14ac:dyDescent="0.35"/>
    <row r="4" spans="2:8" ht="16.2" customHeight="1" thickBot="1" x14ac:dyDescent="0.35">
      <c r="B4" s="2004" t="s">
        <v>0</v>
      </c>
      <c r="C4" s="875"/>
      <c r="D4" s="2006" t="s">
        <v>572</v>
      </c>
      <c r="E4" s="2007"/>
      <c r="F4" s="2008"/>
      <c r="G4" s="2009" t="s">
        <v>354</v>
      </c>
      <c r="H4" s="2010"/>
    </row>
    <row r="5" spans="2:8" ht="31.8" thickBot="1" x14ac:dyDescent="0.35">
      <c r="B5" s="2005"/>
      <c r="C5" s="876" t="s">
        <v>573</v>
      </c>
      <c r="D5" s="876" t="s">
        <v>574</v>
      </c>
      <c r="E5" s="876" t="s">
        <v>166</v>
      </c>
      <c r="F5" s="876" t="s">
        <v>575</v>
      </c>
      <c r="G5" s="884" t="s">
        <v>576</v>
      </c>
      <c r="H5" s="887" t="s">
        <v>577</v>
      </c>
    </row>
    <row r="6" spans="2:8" ht="16.2" thickBot="1" x14ac:dyDescent="0.35">
      <c r="B6" s="877">
        <v>1</v>
      </c>
      <c r="C6" s="878" t="s">
        <v>580</v>
      </c>
      <c r="D6" s="879"/>
      <c r="E6" s="879"/>
      <c r="F6" s="879"/>
      <c r="G6" s="881">
        <f>F6/F11</f>
        <v>0</v>
      </c>
      <c r="H6" s="888"/>
    </row>
    <row r="7" spans="2:8" ht="16.2" thickBot="1" x14ac:dyDescent="0.35">
      <c r="B7" s="877">
        <v>2</v>
      </c>
      <c r="C7" s="878" t="s">
        <v>583</v>
      </c>
      <c r="D7" s="879"/>
      <c r="E7" s="879"/>
      <c r="F7" s="879"/>
      <c r="G7" s="881">
        <f>F7/F11</f>
        <v>0</v>
      </c>
      <c r="H7" s="888"/>
    </row>
    <row r="8" spans="2:8" ht="16.2" thickBot="1" x14ac:dyDescent="0.35">
      <c r="B8" s="877">
        <v>3</v>
      </c>
      <c r="C8" s="878" t="s">
        <v>584</v>
      </c>
      <c r="D8" s="879"/>
      <c r="E8" s="879"/>
      <c r="F8" s="879"/>
      <c r="G8" s="881">
        <f>F8/F11</f>
        <v>0</v>
      </c>
      <c r="H8" s="888"/>
    </row>
    <row r="9" spans="2:8" ht="16.2" thickBot="1" x14ac:dyDescent="0.35">
      <c r="B9" s="877">
        <v>4</v>
      </c>
      <c r="C9" s="878" t="s">
        <v>585</v>
      </c>
      <c r="D9" s="879">
        <v>11</v>
      </c>
      <c r="E9" s="879">
        <v>4</v>
      </c>
      <c r="F9" s="879">
        <f t="shared" ref="F9:F10" si="0">D9+E9</f>
        <v>15</v>
      </c>
      <c r="G9" s="881">
        <f>F9/F11</f>
        <v>0.5357142857142857</v>
      </c>
      <c r="H9" s="888">
        <f t="shared" ref="H9:H10" si="1">E9/F9</f>
        <v>0.26666666666666666</v>
      </c>
    </row>
    <row r="10" spans="2:8" ht="16.2" thickBot="1" x14ac:dyDescent="0.35">
      <c r="B10" s="877">
        <v>5</v>
      </c>
      <c r="C10" s="878" t="s">
        <v>991</v>
      </c>
      <c r="D10" s="879">
        <v>10</v>
      </c>
      <c r="E10" s="879">
        <v>3</v>
      </c>
      <c r="F10" s="879">
        <f t="shared" si="0"/>
        <v>13</v>
      </c>
      <c r="G10" s="881">
        <f>F10/F11</f>
        <v>0.4642857142857143</v>
      </c>
      <c r="H10" s="888">
        <f t="shared" si="1"/>
        <v>0.23076923076923078</v>
      </c>
    </row>
    <row r="11" spans="2:8" ht="16.2" thickBot="1" x14ac:dyDescent="0.35">
      <c r="B11" s="2011" t="s">
        <v>590</v>
      </c>
      <c r="C11" s="2012"/>
      <c r="D11" s="883">
        <f>SUM(D6:D10)</f>
        <v>21</v>
      </c>
      <c r="E11" s="883">
        <f>SUM(E6:E10)</f>
        <v>7</v>
      </c>
      <c r="F11" s="879">
        <f>SUM(F6:F10)</f>
        <v>28</v>
      </c>
      <c r="G11" s="881">
        <f>SUM(G6:G10)</f>
        <v>1</v>
      </c>
      <c r="H11" s="889">
        <f>E11/F11</f>
        <v>0.25</v>
      </c>
    </row>
  </sheetData>
  <mergeCells count="4">
    <mergeCell ref="B4:B5"/>
    <mergeCell ref="D4:F4"/>
    <mergeCell ref="G4:H4"/>
    <mergeCell ref="B11:C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76"/>
  <sheetViews>
    <sheetView topLeftCell="A49" workbookViewId="0">
      <selection activeCell="E69" sqref="E69"/>
    </sheetView>
  </sheetViews>
  <sheetFormatPr defaultColWidth="9.109375" defaultRowHeight="13.8" x14ac:dyDescent="0.3"/>
  <cols>
    <col min="1" max="1" width="9.109375" style="693"/>
    <col min="2" max="2" width="5.5546875" style="693" customWidth="1"/>
    <col min="3" max="3" width="45.44140625" style="693" customWidth="1"/>
    <col min="4" max="4" width="17.21875" style="693" customWidth="1"/>
    <col min="5" max="5" width="26.6640625" style="920" bestFit="1" customWidth="1"/>
    <col min="6" max="6" width="17" style="920" customWidth="1"/>
    <col min="7" max="7" width="16.109375" style="693" customWidth="1"/>
    <col min="8" max="8" width="16" style="693" customWidth="1"/>
    <col min="9" max="9" width="16.109375" style="693" customWidth="1"/>
    <col min="10" max="11" width="15.6640625" style="693" customWidth="1"/>
    <col min="12" max="12" width="18.33203125" style="693" bestFit="1" customWidth="1"/>
    <col min="13" max="13" width="10.5546875" style="693" customWidth="1"/>
    <col min="14" max="14" width="9.109375" style="693"/>
    <col min="15" max="15" width="11" style="693" bestFit="1" customWidth="1"/>
    <col min="16" max="16" width="14.5546875" style="920" bestFit="1" customWidth="1"/>
    <col min="17" max="17" width="9.109375" style="693"/>
    <col min="18" max="18" width="18.33203125" style="693" customWidth="1"/>
    <col min="19" max="16384" width="9.109375" style="693"/>
  </cols>
  <sheetData>
    <row r="2" spans="2:18" s="1416" customFormat="1" ht="18" x14ac:dyDescent="0.3">
      <c r="B2" s="1565" t="s">
        <v>597</v>
      </c>
      <c r="C2" s="1566"/>
      <c r="D2" s="891"/>
      <c r="E2" s="891"/>
      <c r="F2" s="1560"/>
      <c r="G2" s="1561"/>
      <c r="H2" s="1561"/>
      <c r="I2" s="1561"/>
      <c r="J2" s="1561"/>
      <c r="K2" s="1561"/>
      <c r="L2" s="1561"/>
      <c r="M2" s="1561"/>
      <c r="N2" s="1418"/>
      <c r="P2" s="1567"/>
    </row>
    <row r="3" spans="2:18" s="1416" customFormat="1" ht="15" thickBot="1" x14ac:dyDescent="0.35">
      <c r="B3" s="891"/>
      <c r="C3" s="1566"/>
      <c r="D3" s="891"/>
      <c r="E3" s="891"/>
      <c r="F3" s="1560"/>
      <c r="G3" s="1561"/>
      <c r="H3" s="1561"/>
      <c r="I3" s="1561"/>
      <c r="J3" s="1561"/>
      <c r="K3" s="1561"/>
      <c r="L3" s="1561"/>
      <c r="M3" s="1561"/>
      <c r="N3" s="1418"/>
      <c r="P3" s="1567"/>
    </row>
    <row r="4" spans="2:18" ht="31.8" thickBot="1" x14ac:dyDescent="0.35">
      <c r="B4" s="1593" t="s">
        <v>3</v>
      </c>
      <c r="C4" s="1594" t="s">
        <v>592</v>
      </c>
      <c r="D4" s="1595" t="s">
        <v>593</v>
      </c>
      <c r="E4" s="1595" t="s">
        <v>594</v>
      </c>
      <c r="F4" s="1560"/>
      <c r="G4" s="1561"/>
      <c r="H4" s="1561"/>
      <c r="I4" s="1561"/>
      <c r="J4" s="1561"/>
      <c r="K4" s="1561"/>
      <c r="L4" s="1561"/>
      <c r="M4" s="1561"/>
      <c r="N4" s="1418"/>
    </row>
    <row r="5" spans="2:18" ht="14.4" thickBot="1" x14ac:dyDescent="0.35">
      <c r="B5" s="1596">
        <v>1</v>
      </c>
      <c r="C5" s="1597" t="s">
        <v>173</v>
      </c>
      <c r="D5" s="1598"/>
      <c r="E5" s="1599"/>
      <c r="F5" s="1560"/>
      <c r="G5" s="1561"/>
      <c r="H5" s="1561"/>
      <c r="I5" s="1561"/>
      <c r="J5" s="1561"/>
      <c r="K5" s="1561"/>
      <c r="L5" s="1561"/>
      <c r="M5" s="1561"/>
      <c r="N5" s="1418"/>
    </row>
    <row r="6" spans="2:18" s="1570" customFormat="1" ht="14.4" thickBot="1" x14ac:dyDescent="0.35">
      <c r="B6" s="344">
        <v>1.1000000000000001</v>
      </c>
      <c r="C6" s="1563" t="s">
        <v>129</v>
      </c>
      <c r="D6" s="1600"/>
      <c r="E6" s="1601"/>
      <c r="F6" s="1352"/>
      <c r="G6" s="1556"/>
      <c r="H6" s="1556"/>
      <c r="I6" s="1556"/>
      <c r="J6" s="1556"/>
      <c r="K6" s="1556"/>
      <c r="L6" s="1556"/>
      <c r="M6" s="1556"/>
      <c r="N6" s="1569"/>
      <c r="P6" s="1571"/>
    </row>
    <row r="7" spans="2:18" ht="29.4" thickBot="1" x14ac:dyDescent="0.35">
      <c r="B7" s="944" t="s">
        <v>174</v>
      </c>
      <c r="C7" s="1562" t="s">
        <v>706</v>
      </c>
      <c r="D7" s="1572" t="s">
        <v>886</v>
      </c>
      <c r="E7" s="1568" t="s">
        <v>894</v>
      </c>
      <c r="F7" s="1560"/>
      <c r="G7" s="1573" t="s">
        <v>595</v>
      </c>
      <c r="H7" s="1559"/>
      <c r="I7" s="1559"/>
      <c r="J7" s="1559"/>
      <c r="K7" s="1559"/>
      <c r="L7" s="1561"/>
      <c r="M7" s="1561"/>
      <c r="N7" s="1418"/>
    </row>
    <row r="8" spans="2:18" ht="15" thickBot="1" x14ac:dyDescent="0.35">
      <c r="B8" s="944" t="s">
        <v>176</v>
      </c>
      <c r="C8" s="1562" t="s">
        <v>803</v>
      </c>
      <c r="D8" s="1572" t="s">
        <v>886</v>
      </c>
      <c r="E8" s="1568" t="s">
        <v>894</v>
      </c>
      <c r="F8" s="1560"/>
      <c r="G8" s="1573" t="s">
        <v>585</v>
      </c>
      <c r="H8" s="1559"/>
      <c r="I8" s="1559"/>
      <c r="J8" s="1561"/>
      <c r="K8" s="1561"/>
      <c r="L8" s="1561"/>
      <c r="M8" s="1561"/>
      <c r="N8" s="1418"/>
    </row>
    <row r="9" spans="2:18" ht="14.4" x14ac:dyDescent="0.3">
      <c r="B9" s="944" t="s">
        <v>259</v>
      </c>
      <c r="C9" s="1562" t="s">
        <v>808</v>
      </c>
      <c r="D9" s="1572" t="s">
        <v>886</v>
      </c>
      <c r="E9" s="1568" t="s">
        <v>894</v>
      </c>
      <c r="F9" s="1560"/>
      <c r="G9" s="1559"/>
      <c r="H9" s="1559"/>
      <c r="I9" s="1559"/>
      <c r="J9" s="1561"/>
      <c r="K9" s="1561"/>
      <c r="L9" s="1561"/>
      <c r="M9" s="1561"/>
      <c r="N9" s="1418"/>
    </row>
    <row r="10" spans="2:18" ht="14.4" x14ac:dyDescent="0.3">
      <c r="B10" s="944" t="s">
        <v>261</v>
      </c>
      <c r="C10" s="1562" t="s">
        <v>708</v>
      </c>
      <c r="D10" s="1572" t="s">
        <v>886</v>
      </c>
      <c r="E10" s="1568" t="s">
        <v>894</v>
      </c>
      <c r="F10" s="1560"/>
      <c r="G10" s="1559"/>
      <c r="H10" s="1559"/>
      <c r="I10" s="1559"/>
      <c r="J10" s="1561"/>
      <c r="K10" s="1561"/>
      <c r="L10" s="1561"/>
      <c r="M10" s="1561"/>
      <c r="N10" s="1418"/>
    </row>
    <row r="11" spans="2:18" ht="28.8" x14ac:dyDescent="0.3">
      <c r="B11" s="944" t="s">
        <v>262</v>
      </c>
      <c r="C11" s="1562" t="s">
        <v>709</v>
      </c>
      <c r="D11" s="1572" t="s">
        <v>887</v>
      </c>
      <c r="E11" s="1568" t="s">
        <v>894</v>
      </c>
      <c r="F11" s="1560"/>
      <c r="G11" s="1559"/>
      <c r="H11" s="1559"/>
      <c r="I11" s="1559"/>
      <c r="J11" s="1561"/>
      <c r="K11" s="1561"/>
      <c r="L11" s="1561"/>
      <c r="M11" s="1561"/>
      <c r="N11" s="1418"/>
    </row>
    <row r="12" spans="2:18" ht="28.8" x14ac:dyDescent="0.3">
      <c r="B12" s="944" t="s">
        <v>263</v>
      </c>
      <c r="C12" s="1562" t="s">
        <v>710</v>
      </c>
      <c r="D12" s="1572" t="s">
        <v>887</v>
      </c>
      <c r="E12" s="1568" t="s">
        <v>894</v>
      </c>
      <c r="F12" s="1560"/>
      <c r="G12" s="1559"/>
      <c r="H12" s="1559"/>
      <c r="I12" s="1559"/>
      <c r="J12" s="1561"/>
      <c r="K12" s="1561"/>
      <c r="L12" s="1561"/>
      <c r="M12" s="1561"/>
      <c r="N12" s="1418"/>
    </row>
    <row r="13" spans="2:18" ht="14.4" x14ac:dyDescent="0.3">
      <c r="B13" s="944" t="s">
        <v>264</v>
      </c>
      <c r="C13" s="1562" t="s">
        <v>711</v>
      </c>
      <c r="D13" s="1572" t="s">
        <v>888</v>
      </c>
      <c r="E13" s="1568" t="s">
        <v>894</v>
      </c>
      <c r="F13" s="1560"/>
      <c r="G13" s="1559"/>
      <c r="H13" s="1559"/>
      <c r="I13" s="1559"/>
      <c r="J13" s="1561"/>
      <c r="K13" s="1561"/>
      <c r="L13" s="1561"/>
      <c r="M13" s="1561"/>
      <c r="N13" s="1418"/>
    </row>
    <row r="14" spans="2:18" ht="28.8" x14ac:dyDescent="0.3">
      <c r="B14" s="944" t="s">
        <v>265</v>
      </c>
      <c r="C14" s="1562" t="s">
        <v>712</v>
      </c>
      <c r="D14" s="1572" t="s">
        <v>888</v>
      </c>
      <c r="E14" s="1568" t="s">
        <v>894</v>
      </c>
      <c r="F14" s="1560"/>
      <c r="G14" s="1559"/>
      <c r="H14" s="1559"/>
      <c r="I14" s="1559"/>
      <c r="J14" s="1561"/>
      <c r="K14" s="1561"/>
      <c r="L14" s="1561"/>
      <c r="M14" s="1561"/>
      <c r="N14" s="1418"/>
      <c r="R14" s="1574">
        <v>0.419622103020793</v>
      </c>
    </row>
    <row r="15" spans="2:18" ht="28.8" x14ac:dyDescent="0.3">
      <c r="B15" s="944" t="s">
        <v>266</v>
      </c>
      <c r="C15" s="1562" t="s">
        <v>713</v>
      </c>
      <c r="D15" s="1572" t="s">
        <v>888</v>
      </c>
      <c r="E15" s="1568" t="s">
        <v>894</v>
      </c>
      <c r="F15" s="1560"/>
      <c r="G15" s="1559"/>
      <c r="H15" s="1559"/>
      <c r="I15" s="1559"/>
      <c r="J15" s="1561"/>
      <c r="K15" s="1561"/>
      <c r="L15" s="1561"/>
      <c r="M15" s="1561"/>
      <c r="N15" s="1418"/>
      <c r="R15" s="1575">
        <f>R14+1</f>
        <v>1.4196221030207929</v>
      </c>
    </row>
    <row r="16" spans="2:18" ht="14.4" x14ac:dyDescent="0.3">
      <c r="B16" s="944" t="s">
        <v>267</v>
      </c>
      <c r="C16" s="1562" t="s">
        <v>714</v>
      </c>
      <c r="D16" s="1572" t="s">
        <v>888</v>
      </c>
      <c r="E16" s="1568" t="s">
        <v>894</v>
      </c>
      <c r="F16" s="1560"/>
      <c r="G16" s="1559"/>
      <c r="H16" s="1559"/>
      <c r="I16" s="1559"/>
      <c r="J16" s="1561"/>
      <c r="K16" s="1561"/>
      <c r="L16" s="1561"/>
      <c r="M16" s="1561"/>
      <c r="N16" s="1418"/>
      <c r="R16" s="1575">
        <v>1.8392442060415899</v>
      </c>
    </row>
    <row r="17" spans="2:18" ht="14.4" x14ac:dyDescent="0.3">
      <c r="B17" s="944" t="s">
        <v>268</v>
      </c>
      <c r="C17" s="1562" t="s">
        <v>715</v>
      </c>
      <c r="D17" s="1572" t="s">
        <v>888</v>
      </c>
      <c r="E17" s="1568" t="s">
        <v>894</v>
      </c>
      <c r="F17" s="1576"/>
      <c r="G17" s="1559"/>
      <c r="H17" s="1559"/>
      <c r="I17" s="1559"/>
      <c r="J17" s="1561"/>
      <c r="K17" s="1561"/>
      <c r="L17" s="1561"/>
      <c r="M17" s="1561"/>
      <c r="N17" s="1418"/>
    </row>
    <row r="18" spans="2:18" ht="28.8" x14ac:dyDescent="0.3">
      <c r="B18" s="944" t="s">
        <v>269</v>
      </c>
      <c r="C18" s="1562" t="s">
        <v>716</v>
      </c>
      <c r="D18" s="1572" t="s">
        <v>888</v>
      </c>
      <c r="E18" s="1568" t="s">
        <v>894</v>
      </c>
      <c r="F18" s="1560"/>
      <c r="G18" s="1559"/>
      <c r="H18" s="1559"/>
      <c r="I18" s="1559"/>
      <c r="J18" s="1561"/>
      <c r="K18" s="1561"/>
      <c r="L18" s="1561"/>
      <c r="M18" s="1561"/>
      <c r="N18" s="1418"/>
      <c r="P18" s="920">
        <v>57194318</v>
      </c>
    </row>
    <row r="19" spans="2:18" ht="43.2" x14ac:dyDescent="0.3">
      <c r="B19" s="944" t="s">
        <v>270</v>
      </c>
      <c r="C19" s="1562" t="s">
        <v>717</v>
      </c>
      <c r="D19" s="1572" t="s">
        <v>889</v>
      </c>
      <c r="E19" s="1568" t="s">
        <v>894</v>
      </c>
      <c r="F19" s="1560"/>
      <c r="G19" s="1559"/>
      <c r="H19" s="1559"/>
      <c r="I19" s="1559"/>
      <c r="J19" s="1561"/>
      <c r="K19" s="1561"/>
      <c r="L19" s="1561"/>
      <c r="M19" s="1561"/>
      <c r="N19" s="1418"/>
      <c r="P19" s="920">
        <v>24000000</v>
      </c>
    </row>
    <row r="20" spans="2:18" ht="14.4" x14ac:dyDescent="0.3">
      <c r="B20" s="944" t="s">
        <v>271</v>
      </c>
      <c r="C20" s="1562" t="s">
        <v>718</v>
      </c>
      <c r="D20" s="1572" t="s">
        <v>889</v>
      </c>
      <c r="E20" s="1568" t="s">
        <v>894</v>
      </c>
      <c r="F20" s="1560"/>
      <c r="G20" s="1559"/>
      <c r="H20" s="1559"/>
      <c r="I20" s="1559"/>
      <c r="J20" s="1561"/>
      <c r="K20" s="1561"/>
      <c r="L20" s="1561"/>
      <c r="M20" s="1561"/>
      <c r="N20" s="1418"/>
      <c r="P20" s="920">
        <v>24000000</v>
      </c>
    </row>
    <row r="21" spans="2:18" ht="14.4" x14ac:dyDescent="0.3">
      <c r="B21" s="944" t="s">
        <v>272</v>
      </c>
      <c r="C21" s="1562" t="s">
        <v>804</v>
      </c>
      <c r="D21" s="1572" t="s">
        <v>889</v>
      </c>
      <c r="E21" s="1568" t="s">
        <v>894</v>
      </c>
      <c r="F21" s="1560"/>
      <c r="G21" s="1559"/>
      <c r="H21" s="1559"/>
      <c r="I21" s="1559"/>
      <c r="J21" s="1561"/>
      <c r="K21" s="1561"/>
      <c r="L21" s="1561"/>
      <c r="M21" s="1561"/>
      <c r="N21" s="1418"/>
      <c r="P21" s="920">
        <f>P18+P19+P20</f>
        <v>105194318</v>
      </c>
    </row>
    <row r="22" spans="2:18" ht="28.8" x14ac:dyDescent="0.3">
      <c r="B22" s="944" t="s">
        <v>273</v>
      </c>
      <c r="C22" s="1562" t="s">
        <v>805</v>
      </c>
      <c r="D22" s="1572" t="s">
        <v>889</v>
      </c>
      <c r="E22" s="1568" t="s">
        <v>894</v>
      </c>
      <c r="F22" s="1560"/>
      <c r="G22" s="1559"/>
      <c r="H22" s="1559"/>
      <c r="I22" s="1559"/>
      <c r="J22" s="1561"/>
      <c r="K22" s="1561"/>
      <c r="L22" s="1561"/>
      <c r="M22" s="1561"/>
      <c r="N22" s="1418"/>
      <c r="P22" s="920">
        <f>P19+P20+P21</f>
        <v>153194318</v>
      </c>
    </row>
    <row r="23" spans="2:18" ht="28.8" x14ac:dyDescent="0.3">
      <c r="B23" s="944" t="s">
        <v>274</v>
      </c>
      <c r="C23" s="1562" t="s">
        <v>719</v>
      </c>
      <c r="D23" s="1572" t="s">
        <v>889</v>
      </c>
      <c r="E23" s="1568" t="s">
        <v>894</v>
      </c>
      <c r="F23" s="1577"/>
      <c r="G23" s="1559"/>
      <c r="H23" s="1559"/>
      <c r="I23" s="1559"/>
      <c r="J23" s="1561"/>
      <c r="K23" s="1561"/>
      <c r="L23" s="1561"/>
      <c r="M23" s="1561"/>
      <c r="N23" s="1418"/>
      <c r="R23" s="1574">
        <f>P19/P18</f>
        <v>0.41962210302079306</v>
      </c>
    </row>
    <row r="24" spans="2:18" ht="28.8" x14ac:dyDescent="0.3">
      <c r="B24" s="944" t="s">
        <v>275</v>
      </c>
      <c r="C24" s="1562" t="s">
        <v>720</v>
      </c>
      <c r="D24" s="1572" t="s">
        <v>889</v>
      </c>
      <c r="E24" s="1568" t="s">
        <v>894</v>
      </c>
      <c r="F24" s="1560"/>
      <c r="G24" s="1559"/>
      <c r="H24" s="1559"/>
      <c r="I24" s="1559"/>
      <c r="J24" s="1561"/>
      <c r="K24" s="1561"/>
      <c r="L24" s="1561"/>
      <c r="M24" s="1561"/>
      <c r="N24" s="1418"/>
      <c r="R24" s="693">
        <f>R23*2</f>
        <v>0.83924420604158612</v>
      </c>
    </row>
    <row r="25" spans="2:18" ht="28.8" x14ac:dyDescent="0.3">
      <c r="B25" s="944" t="s">
        <v>276</v>
      </c>
      <c r="C25" s="1562" t="s">
        <v>721</v>
      </c>
      <c r="D25" s="1572" t="s">
        <v>889</v>
      </c>
      <c r="E25" s="1568" t="s">
        <v>894</v>
      </c>
      <c r="F25" s="1560"/>
      <c r="G25" s="1559"/>
      <c r="H25" s="1559"/>
      <c r="I25" s="1559"/>
      <c r="J25" s="1561"/>
      <c r="K25" s="1561"/>
      <c r="L25" s="1561"/>
      <c r="M25" s="1561"/>
      <c r="N25" s="1418"/>
      <c r="R25" s="1575">
        <f>R24+1</f>
        <v>1.8392442060415861</v>
      </c>
    </row>
    <row r="26" spans="2:18" ht="28.8" x14ac:dyDescent="0.3">
      <c r="B26" s="944" t="s">
        <v>277</v>
      </c>
      <c r="C26" s="1562" t="s">
        <v>722</v>
      </c>
      <c r="D26" s="1572" t="s">
        <v>890</v>
      </c>
      <c r="E26" s="1568" t="s">
        <v>894</v>
      </c>
      <c r="F26" s="1560"/>
      <c r="G26" s="1559"/>
      <c r="H26" s="1559"/>
      <c r="I26" s="1559"/>
      <c r="J26" s="1561"/>
      <c r="K26" s="1561"/>
      <c r="L26" s="1561"/>
      <c r="M26" s="1561"/>
      <c r="N26" s="1418"/>
    </row>
    <row r="27" spans="2:18" ht="28.8" x14ac:dyDescent="0.3">
      <c r="B27" s="944" t="s">
        <v>278</v>
      </c>
      <c r="C27" s="1562" t="s">
        <v>723</v>
      </c>
      <c r="D27" s="1572" t="s">
        <v>890</v>
      </c>
      <c r="E27" s="1568" t="s">
        <v>894</v>
      </c>
      <c r="F27" s="1560"/>
      <c r="G27" s="1559"/>
      <c r="H27" s="1559"/>
      <c r="I27" s="1559"/>
      <c r="J27" s="1561"/>
      <c r="K27" s="1561"/>
      <c r="L27" s="1561"/>
      <c r="M27" s="1561"/>
      <c r="N27" s="1418"/>
    </row>
    <row r="28" spans="2:18" ht="28.8" x14ac:dyDescent="0.3">
      <c r="B28" s="944" t="s">
        <v>753</v>
      </c>
      <c r="C28" s="1562" t="s">
        <v>724</v>
      </c>
      <c r="D28" s="1572" t="s">
        <v>890</v>
      </c>
      <c r="E28" s="1568" t="s">
        <v>894</v>
      </c>
      <c r="F28" s="1560"/>
      <c r="G28" s="1559"/>
      <c r="H28" s="1559"/>
      <c r="I28" s="1559"/>
      <c r="J28" s="1561"/>
      <c r="K28" s="1561"/>
      <c r="L28" s="1561"/>
      <c r="M28" s="1561"/>
      <c r="N28" s="1418"/>
    </row>
    <row r="29" spans="2:18" ht="28.8" x14ac:dyDescent="0.3">
      <c r="B29" s="944" t="s">
        <v>754</v>
      </c>
      <c r="C29" s="1562" t="s">
        <v>725</v>
      </c>
      <c r="D29" s="1572" t="s">
        <v>890</v>
      </c>
      <c r="E29" s="1568" t="s">
        <v>894</v>
      </c>
      <c r="F29" s="1560"/>
      <c r="G29" s="1559"/>
      <c r="H29" s="1559"/>
      <c r="I29" s="1559"/>
      <c r="J29" s="1561"/>
      <c r="K29" s="1561"/>
      <c r="L29" s="1561"/>
      <c r="M29" s="1561"/>
      <c r="N29" s="1418"/>
    </row>
    <row r="30" spans="2:18" ht="28.8" x14ac:dyDescent="0.3">
      <c r="B30" s="944" t="s">
        <v>755</v>
      </c>
      <c r="C30" s="1562" t="s">
        <v>726</v>
      </c>
      <c r="D30" s="1572" t="s">
        <v>891</v>
      </c>
      <c r="E30" s="1568" t="s">
        <v>894</v>
      </c>
      <c r="F30" s="1560"/>
      <c r="G30" s="1559"/>
      <c r="H30" s="1559"/>
      <c r="I30" s="1559"/>
      <c r="J30" s="1561"/>
      <c r="K30" s="1561"/>
      <c r="L30" s="1561"/>
      <c r="M30" s="1561"/>
      <c r="N30" s="1418"/>
    </row>
    <row r="31" spans="2:18" ht="28.8" x14ac:dyDescent="0.3">
      <c r="B31" s="944" t="s">
        <v>756</v>
      </c>
      <c r="C31" s="1562" t="s">
        <v>727</v>
      </c>
      <c r="D31" s="1572" t="s">
        <v>891</v>
      </c>
      <c r="E31" s="1568" t="s">
        <v>894</v>
      </c>
      <c r="F31" s="1560"/>
      <c r="G31" s="1559"/>
      <c r="H31" s="1559"/>
      <c r="I31" s="1559"/>
      <c r="J31" s="1561"/>
      <c r="K31" s="1561"/>
      <c r="L31" s="1561"/>
      <c r="M31" s="1561"/>
      <c r="N31" s="1418"/>
    </row>
    <row r="32" spans="2:18" ht="28.8" x14ac:dyDescent="0.3">
      <c r="B32" s="944" t="s">
        <v>757</v>
      </c>
      <c r="C32" s="1562" t="s">
        <v>728</v>
      </c>
      <c r="D32" s="1572" t="s">
        <v>891</v>
      </c>
      <c r="E32" s="1568" t="s">
        <v>894</v>
      </c>
      <c r="F32" s="1560"/>
      <c r="G32" s="1559"/>
      <c r="H32" s="1559"/>
      <c r="I32" s="1559"/>
      <c r="J32" s="1561"/>
      <c r="K32" s="1561"/>
      <c r="L32" s="1561"/>
      <c r="M32" s="1561"/>
      <c r="N32" s="1418"/>
    </row>
    <row r="33" spans="2:16" ht="14.4" x14ac:dyDescent="0.3">
      <c r="B33" s="944" t="s">
        <v>758</v>
      </c>
      <c r="C33" s="1562" t="s">
        <v>729</v>
      </c>
      <c r="D33" s="1572" t="s">
        <v>891</v>
      </c>
      <c r="E33" s="1568" t="s">
        <v>894</v>
      </c>
      <c r="F33" s="1560"/>
      <c r="G33" s="1559"/>
      <c r="H33" s="1559"/>
      <c r="I33" s="1559"/>
      <c r="J33" s="1561"/>
      <c r="K33" s="1561"/>
      <c r="L33" s="1561"/>
      <c r="M33" s="1561"/>
      <c r="N33" s="1418"/>
    </row>
    <row r="34" spans="2:16" ht="14.4" x14ac:dyDescent="0.3">
      <c r="B34" s="944" t="s">
        <v>759</v>
      </c>
      <c r="C34" s="1562" t="s">
        <v>730</v>
      </c>
      <c r="D34" s="1572" t="s">
        <v>891</v>
      </c>
      <c r="E34" s="1568" t="s">
        <v>894</v>
      </c>
      <c r="F34" s="1560"/>
      <c r="G34" s="1559"/>
      <c r="H34" s="1559"/>
      <c r="I34" s="1559"/>
      <c r="J34" s="1561"/>
      <c r="K34" s="1561"/>
      <c r="L34" s="1561"/>
      <c r="M34" s="1561"/>
      <c r="N34" s="1418"/>
    </row>
    <row r="35" spans="2:16" ht="14.4" x14ac:dyDescent="0.3">
      <c r="B35" s="693" t="s">
        <v>806</v>
      </c>
      <c r="C35" s="1562" t="s">
        <v>731</v>
      </c>
      <c r="D35" s="1572" t="s">
        <v>891</v>
      </c>
      <c r="E35" s="1568" t="s">
        <v>894</v>
      </c>
      <c r="F35" s="1560"/>
      <c r="G35" s="1559"/>
      <c r="H35" s="1559"/>
      <c r="I35" s="1559"/>
      <c r="J35" s="1561"/>
      <c r="K35" s="1561"/>
      <c r="L35" s="1561"/>
      <c r="M35" s="1561"/>
      <c r="N35" s="1418"/>
    </row>
    <row r="36" spans="2:16" ht="14.4" x14ac:dyDescent="0.3">
      <c r="B36" s="693" t="s">
        <v>807</v>
      </c>
      <c r="C36" s="1562" t="s">
        <v>732</v>
      </c>
      <c r="D36" s="1572" t="s">
        <v>891</v>
      </c>
      <c r="E36" s="1568" t="s">
        <v>894</v>
      </c>
      <c r="F36" s="1560"/>
      <c r="G36" s="1559"/>
      <c r="H36" s="1559"/>
      <c r="I36" s="1559"/>
      <c r="J36" s="1561"/>
      <c r="K36" s="1561"/>
      <c r="L36" s="1561"/>
      <c r="M36" s="1561"/>
      <c r="N36" s="1418"/>
    </row>
    <row r="37" spans="2:16" ht="14.4" thickBot="1" x14ac:dyDescent="0.35">
      <c r="B37" s="344">
        <v>1.2</v>
      </c>
      <c r="C37" s="1563" t="s">
        <v>397</v>
      </c>
      <c r="D37" s="344"/>
      <c r="E37" s="1602"/>
      <c r="F37" s="949"/>
      <c r="G37" s="949"/>
      <c r="H37" s="949"/>
      <c r="I37" s="949"/>
      <c r="J37" s="1417"/>
      <c r="K37" s="1417"/>
      <c r="L37" s="1417"/>
      <c r="M37" s="1417"/>
      <c r="N37" s="1418"/>
    </row>
    <row r="38" spans="2:16" ht="27.6" thickBot="1" x14ac:dyDescent="0.35">
      <c r="B38" s="689" t="s">
        <v>178</v>
      </c>
      <c r="C38" s="1578" t="s">
        <v>516</v>
      </c>
      <c r="D38" s="1579" t="s">
        <v>892</v>
      </c>
      <c r="E38" s="1568" t="s">
        <v>894</v>
      </c>
      <c r="F38" s="1580"/>
      <c r="G38" s="1580"/>
      <c r="H38" s="1580"/>
      <c r="I38" s="1580"/>
      <c r="J38" s="1417"/>
      <c r="K38" s="1417"/>
      <c r="L38" s="949"/>
      <c r="M38" s="1417"/>
      <c r="N38" s="1418"/>
    </row>
    <row r="39" spans="2:16" ht="14.4" thickBot="1" x14ac:dyDescent="0.35">
      <c r="B39" s="344">
        <v>1.3</v>
      </c>
      <c r="C39" s="1563" t="s">
        <v>536</v>
      </c>
      <c r="D39" s="344"/>
      <c r="E39" s="1602"/>
      <c r="F39" s="949"/>
      <c r="G39" s="949"/>
      <c r="H39" s="949"/>
      <c r="I39" s="949"/>
      <c r="J39" s="1417"/>
      <c r="K39" s="1417"/>
      <c r="L39" s="1417"/>
      <c r="M39" s="1417"/>
      <c r="N39" s="1418"/>
    </row>
    <row r="40" spans="2:16" ht="14.4" x14ac:dyDescent="0.3">
      <c r="B40" s="944" t="s">
        <v>181</v>
      </c>
      <c r="C40" s="1581" t="s">
        <v>744</v>
      </c>
      <c r="D40" s="1572" t="s">
        <v>888</v>
      </c>
      <c r="E40" s="1568" t="s">
        <v>894</v>
      </c>
      <c r="F40" s="1560"/>
      <c r="G40" s="1559"/>
      <c r="H40" s="1559"/>
      <c r="I40" s="1559"/>
      <c r="J40" s="1561"/>
      <c r="K40" s="1561"/>
      <c r="L40" s="1561"/>
      <c r="M40" s="1561"/>
      <c r="N40" s="1418"/>
    </row>
    <row r="41" spans="2:16" ht="14.4" x14ac:dyDescent="0.3">
      <c r="B41" s="944" t="s">
        <v>182</v>
      </c>
      <c r="C41" s="1581" t="s">
        <v>745</v>
      </c>
      <c r="D41" s="1572" t="s">
        <v>888</v>
      </c>
      <c r="E41" s="1568" t="s">
        <v>894</v>
      </c>
      <c r="F41" s="1560"/>
      <c r="G41" s="1559"/>
      <c r="H41" s="1559"/>
      <c r="I41" s="1559"/>
      <c r="J41" s="1561"/>
      <c r="K41" s="1561"/>
      <c r="L41" s="1561"/>
      <c r="M41" s="1561"/>
      <c r="N41" s="1418"/>
    </row>
    <row r="42" spans="2:16" ht="14.4" x14ac:dyDescent="0.3">
      <c r="B42" s="944" t="s">
        <v>531</v>
      </c>
      <c r="C42" s="1581" t="s">
        <v>746</v>
      </c>
      <c r="D42" s="1572" t="s">
        <v>889</v>
      </c>
      <c r="E42" s="1568" t="s">
        <v>894</v>
      </c>
      <c r="F42" s="1560"/>
      <c r="G42" s="1559"/>
      <c r="H42" s="1559"/>
      <c r="I42" s="1559"/>
      <c r="J42" s="1561"/>
      <c r="K42" s="1561"/>
      <c r="L42" s="1561"/>
      <c r="M42" s="1561"/>
      <c r="N42" s="1418"/>
    </row>
    <row r="43" spans="2:16" ht="14.4" x14ac:dyDescent="0.3">
      <c r="B43" s="944" t="s">
        <v>532</v>
      </c>
      <c r="C43" s="1582" t="s">
        <v>747</v>
      </c>
      <c r="D43" s="1572" t="s">
        <v>887</v>
      </c>
      <c r="E43" s="1568" t="s">
        <v>894</v>
      </c>
      <c r="F43" s="1560"/>
      <c r="G43" s="1559"/>
      <c r="H43" s="1559"/>
      <c r="I43" s="1559"/>
      <c r="J43" s="1561"/>
      <c r="K43" s="1561"/>
      <c r="L43" s="1561"/>
      <c r="M43" s="1561"/>
      <c r="N43" s="1418"/>
    </row>
    <row r="44" spans="2:16" ht="14.4" x14ac:dyDescent="0.3">
      <c r="B44" s="944" t="s">
        <v>537</v>
      </c>
      <c r="C44" s="1581" t="s">
        <v>885</v>
      </c>
      <c r="D44" s="1572" t="s">
        <v>888</v>
      </c>
      <c r="E44" s="1568" t="s">
        <v>894</v>
      </c>
      <c r="F44" s="1560"/>
      <c r="G44" s="1559"/>
      <c r="H44" s="1559"/>
      <c r="I44" s="1559"/>
      <c r="J44" s="1561"/>
      <c r="K44" s="1561"/>
      <c r="L44" s="1561"/>
      <c r="M44" s="1561"/>
      <c r="N44" s="1418"/>
    </row>
    <row r="45" spans="2:16" ht="15.6" x14ac:dyDescent="0.3">
      <c r="B45" s="1607">
        <v>1.4</v>
      </c>
      <c r="C45" s="1604" t="s">
        <v>1057</v>
      </c>
      <c r="D45" s="1603"/>
      <c r="E45" s="1602"/>
      <c r="F45" s="1557"/>
      <c r="G45" s="1557"/>
      <c r="H45" s="1557"/>
      <c r="I45" s="1557"/>
      <c r="J45" s="1557"/>
      <c r="K45" s="1557"/>
      <c r="L45" s="1557"/>
      <c r="M45" s="1557"/>
      <c r="N45" s="1418"/>
      <c r="P45" s="693"/>
    </row>
    <row r="46" spans="2:16" ht="28.8" x14ac:dyDescent="0.3">
      <c r="B46" s="701" t="s">
        <v>184</v>
      </c>
      <c r="C46" s="1583" t="s">
        <v>749</v>
      </c>
      <c r="D46" s="1579" t="s">
        <v>893</v>
      </c>
      <c r="E46" s="1568" t="s">
        <v>894</v>
      </c>
      <c r="F46" s="1558"/>
      <c r="G46" s="1558"/>
      <c r="H46" s="1558"/>
      <c r="I46" s="1558"/>
      <c r="J46" s="1558"/>
      <c r="K46" s="1558"/>
      <c r="L46" s="1558"/>
      <c r="M46" s="1558"/>
      <c r="N46" s="1418"/>
    </row>
    <row r="47" spans="2:16" ht="15.6" x14ac:dyDescent="0.3">
      <c r="B47" s="1607">
        <v>1.5</v>
      </c>
      <c r="C47" s="1604" t="s">
        <v>790</v>
      </c>
      <c r="D47" s="1603"/>
      <c r="E47" s="1602"/>
      <c r="F47" s="1557"/>
      <c r="G47" s="1558"/>
      <c r="H47" s="1558"/>
      <c r="I47" s="1558"/>
      <c r="J47" s="1557"/>
      <c r="K47" s="1557"/>
      <c r="L47" s="1557"/>
      <c r="M47" s="1557"/>
      <c r="N47" s="1418"/>
    </row>
    <row r="48" spans="2:16" ht="26.4" x14ac:dyDescent="0.3">
      <c r="B48" s="700" t="s">
        <v>283</v>
      </c>
      <c r="C48" s="1564" t="s">
        <v>751</v>
      </c>
      <c r="D48" s="1572" t="s">
        <v>886</v>
      </c>
      <c r="E48" s="1568" t="s">
        <v>894</v>
      </c>
      <c r="F48" s="1557"/>
      <c r="G48" s="1558"/>
      <c r="H48" s="1558"/>
      <c r="I48" s="1558"/>
      <c r="J48" s="1557"/>
      <c r="K48" s="1557"/>
      <c r="L48" s="1557"/>
      <c r="M48" s="1557"/>
      <c r="N48" s="1418"/>
    </row>
    <row r="49" spans="2:16" ht="14.4" thickBot="1" x14ac:dyDescent="0.35">
      <c r="B49" s="1605">
        <v>1.6</v>
      </c>
      <c r="C49" s="1563" t="s">
        <v>280</v>
      </c>
      <c r="D49" s="1606"/>
      <c r="E49" s="1602"/>
      <c r="F49" s="1352"/>
      <c r="G49" s="1555"/>
      <c r="H49" s="1555"/>
      <c r="I49" s="1555"/>
      <c r="J49" s="1556"/>
      <c r="K49" s="1556"/>
      <c r="L49" s="1556"/>
      <c r="M49" s="1556"/>
      <c r="N49" s="1418"/>
      <c r="O49" s="1416"/>
      <c r="P49" s="1567"/>
    </row>
    <row r="50" spans="2:16" ht="28.8" x14ac:dyDescent="0.3">
      <c r="B50" s="944" t="s">
        <v>284</v>
      </c>
      <c r="C50" s="1584" t="s">
        <v>733</v>
      </c>
      <c r="D50" s="1572" t="s">
        <v>886</v>
      </c>
      <c r="E50" s="1568" t="s">
        <v>894</v>
      </c>
      <c r="F50" s="1585"/>
      <c r="G50" s="1559"/>
      <c r="H50" s="1559"/>
      <c r="I50" s="1559"/>
      <c r="J50" s="1561"/>
      <c r="K50" s="1561"/>
      <c r="L50" s="1561"/>
      <c r="M50" s="1561"/>
      <c r="N50" s="1418"/>
      <c r="O50" s="1416"/>
      <c r="P50" s="1567"/>
    </row>
    <row r="51" spans="2:16" ht="14.4" x14ac:dyDescent="0.3">
      <c r="B51" s="944" t="s">
        <v>285</v>
      </c>
      <c r="C51" s="1562" t="s">
        <v>734</v>
      </c>
      <c r="D51" s="1572" t="s">
        <v>886</v>
      </c>
      <c r="E51" s="1568" t="s">
        <v>894</v>
      </c>
      <c r="F51" s="1585"/>
      <c r="G51" s="1559"/>
      <c r="H51" s="1559"/>
      <c r="I51" s="1559"/>
      <c r="J51" s="1561"/>
      <c r="K51" s="1561"/>
      <c r="L51" s="1561"/>
      <c r="M51" s="1561"/>
      <c r="N51" s="1418"/>
      <c r="O51" s="1416"/>
      <c r="P51" s="1567"/>
    </row>
    <row r="52" spans="2:16" ht="14.4" x14ac:dyDescent="0.3">
      <c r="B52" s="944" t="s">
        <v>895</v>
      </c>
      <c r="C52" s="1562" t="s">
        <v>735</v>
      </c>
      <c r="D52" s="1572" t="s">
        <v>887</v>
      </c>
      <c r="E52" s="1568" t="s">
        <v>894</v>
      </c>
      <c r="F52" s="1585"/>
      <c r="G52" s="1559"/>
      <c r="H52" s="1559"/>
      <c r="I52" s="1559"/>
      <c r="J52" s="1561"/>
      <c r="K52" s="1561"/>
      <c r="L52" s="1561"/>
      <c r="M52" s="1561"/>
      <c r="N52" s="1418"/>
      <c r="O52" s="1416"/>
      <c r="P52" s="1567"/>
    </row>
    <row r="53" spans="2:16" ht="14.4" x14ac:dyDescent="0.3">
      <c r="B53" s="944" t="s">
        <v>896</v>
      </c>
      <c r="C53" s="1562" t="s">
        <v>736</v>
      </c>
      <c r="D53" s="1572" t="s">
        <v>888</v>
      </c>
      <c r="E53" s="1568" t="s">
        <v>894</v>
      </c>
      <c r="F53" s="1585"/>
      <c r="G53" s="1559"/>
      <c r="H53" s="1559"/>
      <c r="I53" s="1559"/>
      <c r="J53" s="1561"/>
      <c r="K53" s="1561"/>
      <c r="L53" s="1561"/>
      <c r="M53" s="1561"/>
      <c r="N53" s="1418"/>
      <c r="O53" s="1416"/>
      <c r="P53" s="1567"/>
    </row>
    <row r="54" spans="2:16" ht="14.4" x14ac:dyDescent="0.3">
      <c r="B54" s="944" t="s">
        <v>897</v>
      </c>
      <c r="C54" s="1562" t="s">
        <v>737</v>
      </c>
      <c r="D54" s="1572" t="s">
        <v>888</v>
      </c>
      <c r="E54" s="1568" t="s">
        <v>894</v>
      </c>
      <c r="F54" s="1585"/>
      <c r="G54" s="1559"/>
      <c r="H54" s="1559"/>
      <c r="I54" s="1559"/>
      <c r="J54" s="1561"/>
      <c r="K54" s="1561"/>
      <c r="L54" s="1561"/>
      <c r="M54" s="1561"/>
      <c r="N54" s="1418"/>
      <c r="O54" s="1416"/>
      <c r="P54" s="1567"/>
    </row>
    <row r="55" spans="2:16" ht="28.8" x14ac:dyDescent="0.3">
      <c r="B55" s="944" t="s">
        <v>898</v>
      </c>
      <c r="C55" s="1562" t="s">
        <v>738</v>
      </c>
      <c r="D55" s="1572" t="s">
        <v>888</v>
      </c>
      <c r="E55" s="1568" t="s">
        <v>894</v>
      </c>
      <c r="F55" s="1585"/>
      <c r="G55" s="1559"/>
      <c r="H55" s="1559"/>
      <c r="I55" s="1559"/>
      <c r="J55" s="1561"/>
      <c r="K55" s="1561"/>
      <c r="L55" s="1561"/>
      <c r="M55" s="1561"/>
      <c r="N55" s="1418"/>
      <c r="O55" s="1416"/>
      <c r="P55" s="1567"/>
    </row>
    <row r="56" spans="2:16" ht="14.4" x14ac:dyDescent="0.3">
      <c r="B56" s="944" t="s">
        <v>899</v>
      </c>
      <c r="C56" s="1562" t="s">
        <v>739</v>
      </c>
      <c r="D56" s="1572" t="s">
        <v>889</v>
      </c>
      <c r="E56" s="1568" t="s">
        <v>894</v>
      </c>
      <c r="F56" s="1585"/>
      <c r="G56" s="1559"/>
      <c r="H56" s="1559"/>
      <c r="I56" s="1559"/>
      <c r="J56" s="1561"/>
      <c r="K56" s="1561"/>
      <c r="L56" s="1561"/>
      <c r="M56" s="1561"/>
      <c r="N56" s="1418"/>
      <c r="O56" s="1416"/>
      <c r="P56" s="1567"/>
    </row>
    <row r="57" spans="2:16" ht="14.4" x14ac:dyDescent="0.3">
      <c r="B57" s="944" t="s">
        <v>900</v>
      </c>
      <c r="C57" s="1562" t="s">
        <v>740</v>
      </c>
      <c r="D57" s="1572" t="s">
        <v>889</v>
      </c>
      <c r="E57" s="1568" t="s">
        <v>894</v>
      </c>
      <c r="F57" s="1585"/>
      <c r="G57" s="1559"/>
      <c r="H57" s="1559"/>
      <c r="I57" s="1559"/>
      <c r="J57" s="1561"/>
      <c r="K57" s="1561"/>
      <c r="L57" s="1561"/>
      <c r="M57" s="1561"/>
      <c r="N57" s="1418"/>
      <c r="O57" s="1416"/>
      <c r="P57" s="1567"/>
    </row>
    <row r="58" spans="2:16" ht="14.4" x14ac:dyDescent="0.3">
      <c r="B58" s="944" t="s">
        <v>901</v>
      </c>
      <c r="C58" s="1562" t="s">
        <v>741</v>
      </c>
      <c r="D58" s="1572" t="s">
        <v>889</v>
      </c>
      <c r="E58" s="1568" t="s">
        <v>894</v>
      </c>
      <c r="F58" s="1585"/>
      <c r="G58" s="1559"/>
      <c r="H58" s="1559"/>
      <c r="I58" s="1559"/>
      <c r="J58" s="1561"/>
      <c r="K58" s="1561"/>
      <c r="L58" s="1561"/>
      <c r="M58" s="1561"/>
      <c r="N58" s="1418"/>
      <c r="O58" s="1416"/>
      <c r="P58" s="1567"/>
    </row>
    <row r="59" spans="2:16" ht="28.8" x14ac:dyDescent="0.3">
      <c r="B59" s="944" t="s">
        <v>902</v>
      </c>
      <c r="C59" s="1562" t="s">
        <v>742</v>
      </c>
      <c r="D59" s="1572" t="s">
        <v>890</v>
      </c>
      <c r="E59" s="1568" t="s">
        <v>894</v>
      </c>
      <c r="F59" s="1585"/>
      <c r="G59" s="1559"/>
      <c r="H59" s="1559"/>
      <c r="I59" s="1559"/>
      <c r="J59" s="1561"/>
      <c r="K59" s="1561"/>
      <c r="L59" s="1561"/>
      <c r="M59" s="1561"/>
      <c r="N59" s="1418"/>
      <c r="O59" s="1416"/>
      <c r="P59" s="1567"/>
    </row>
    <row r="60" spans="2:16" ht="14.4" x14ac:dyDescent="0.3">
      <c r="B60" s="944" t="s">
        <v>903</v>
      </c>
      <c r="C60" s="1586" t="s">
        <v>820</v>
      </c>
      <c r="D60" s="1572" t="s">
        <v>891</v>
      </c>
      <c r="E60" s="1568" t="s">
        <v>894</v>
      </c>
      <c r="F60" s="1585"/>
      <c r="G60" s="1559"/>
      <c r="H60" s="1559"/>
      <c r="I60" s="1559"/>
      <c r="J60" s="1561"/>
      <c r="K60" s="1561"/>
      <c r="L60" s="1561"/>
      <c r="M60" s="1561"/>
      <c r="N60" s="1418"/>
      <c r="O60" s="1416"/>
      <c r="P60" s="1567"/>
    </row>
    <row r="61" spans="2:16" ht="14.4" x14ac:dyDescent="0.3">
      <c r="B61" s="944" t="s">
        <v>904</v>
      </c>
      <c r="C61" s="1586" t="s">
        <v>743</v>
      </c>
      <c r="D61" s="1572" t="s">
        <v>890</v>
      </c>
      <c r="E61" s="1568" t="s">
        <v>894</v>
      </c>
      <c r="F61" s="1585"/>
      <c r="G61" s="1559"/>
      <c r="H61" s="1559"/>
      <c r="I61" s="1559"/>
      <c r="J61" s="1561"/>
      <c r="K61" s="1561"/>
      <c r="L61" s="1561"/>
      <c r="M61" s="1561"/>
      <c r="N61" s="1418"/>
      <c r="O61" s="1416"/>
      <c r="P61" s="1567"/>
    </row>
    <row r="62" spans="2:16" x14ac:dyDescent="0.3">
      <c r="D62" s="1416"/>
      <c r="E62" s="1567"/>
      <c r="F62" s="1587"/>
      <c r="G62" s="1588"/>
      <c r="H62" s="1416"/>
      <c r="I62" s="1589"/>
      <c r="J62" s="1416"/>
      <c r="K62" s="1416"/>
      <c r="L62" s="1416"/>
      <c r="M62" s="1416"/>
      <c r="N62" s="1416"/>
      <c r="O62" s="1416"/>
    </row>
    <row r="63" spans="2:16" x14ac:dyDescent="0.3">
      <c r="G63" s="1590"/>
    </row>
    <row r="64" spans="2:16" x14ac:dyDescent="0.3">
      <c r="F64" s="920" t="e">
        <f>#REF!+612642.26</f>
        <v>#REF!</v>
      </c>
      <c r="L64" s="1590" t="e">
        <f>G62+#REF!+#REF!+#REF!</f>
        <v>#REF!</v>
      </c>
    </row>
    <row r="65" spans="3:16" ht="14.4" thickBot="1" x14ac:dyDescent="0.35">
      <c r="C65" s="693">
        <v>2755507.75</v>
      </c>
      <c r="E65" s="693"/>
      <c r="F65" s="693"/>
      <c r="G65" s="1591">
        <v>882100.33</v>
      </c>
      <c r="I65" s="1590" t="e">
        <f>#REF!+#REF!+#REF!+#REF!+#REF!+#REF!</f>
        <v>#REF!</v>
      </c>
      <c r="P65" s="693"/>
    </row>
    <row r="66" spans="3:16" ht="14.4" thickBot="1" x14ac:dyDescent="0.35">
      <c r="C66" s="693">
        <v>69610194.25</v>
      </c>
      <c r="E66" s="693"/>
      <c r="F66" s="693"/>
      <c r="G66" s="1591">
        <v>3117899.33</v>
      </c>
      <c r="I66" s="1590" t="e">
        <f>#REF!+#REF!</f>
        <v>#REF!</v>
      </c>
      <c r="L66" s="693">
        <v>612642.26</v>
      </c>
      <c r="P66" s="693"/>
    </row>
    <row r="67" spans="3:16" ht="14.4" thickBot="1" x14ac:dyDescent="0.35">
      <c r="C67" s="693">
        <f>C65+C66</f>
        <v>72365702</v>
      </c>
      <c r="E67" s="693"/>
      <c r="F67" s="693"/>
      <c r="G67" s="1592">
        <f>G65+G66</f>
        <v>3999999.66</v>
      </c>
      <c r="I67" s="1590" t="e">
        <f>I65-I66</f>
        <v>#REF!</v>
      </c>
      <c r="L67" s="1590" t="e">
        <f>#REF!+L66</f>
        <v>#REF!</v>
      </c>
      <c r="P67" s="693"/>
    </row>
    <row r="69" spans="3:16" x14ac:dyDescent="0.3">
      <c r="H69" s="693">
        <v>132365702</v>
      </c>
    </row>
    <row r="70" spans="3:16" x14ac:dyDescent="0.3">
      <c r="F70" s="920">
        <v>72365702</v>
      </c>
      <c r="H70" s="693">
        <v>3000000</v>
      </c>
    </row>
    <row r="71" spans="3:16" x14ac:dyDescent="0.3">
      <c r="F71" s="920">
        <v>30000000</v>
      </c>
      <c r="H71" s="693">
        <v>3000000</v>
      </c>
    </row>
    <row r="72" spans="3:16" x14ac:dyDescent="0.3">
      <c r="E72" s="693"/>
      <c r="F72" s="920">
        <v>30000000</v>
      </c>
      <c r="P72" s="693"/>
    </row>
    <row r="73" spans="3:16" x14ac:dyDescent="0.3">
      <c r="E73" s="693"/>
      <c r="F73" s="920">
        <f>F70+F71+F72</f>
        <v>132365702</v>
      </c>
      <c r="G73" s="693">
        <v>30000000</v>
      </c>
      <c r="P73" s="693"/>
    </row>
    <row r="74" spans="3:16" x14ac:dyDescent="0.3">
      <c r="E74" s="693"/>
      <c r="G74" s="693">
        <v>72365702</v>
      </c>
      <c r="I74" s="693">
        <v>1.82912206116649</v>
      </c>
      <c r="J74" s="693">
        <v>0.414561030583245</v>
      </c>
      <c r="P74" s="693"/>
    </row>
    <row r="75" spans="3:16" x14ac:dyDescent="0.3">
      <c r="E75" s="693"/>
      <c r="G75" s="693">
        <f>G73/G74</f>
        <v>0.41456103058324506</v>
      </c>
      <c r="J75" s="693">
        <f>J74*2</f>
        <v>0.82912206116649001</v>
      </c>
      <c r="P75" s="693"/>
    </row>
    <row r="76" spans="3:16" x14ac:dyDescent="0.3">
      <c r="E76" s="693"/>
      <c r="J76" s="693">
        <f>1+J75</f>
        <v>1.82912206116649</v>
      </c>
      <c r="P76" s="69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zoomScaleNormal="100" workbookViewId="0">
      <selection activeCell="D15" sqref="D15"/>
    </sheetView>
  </sheetViews>
  <sheetFormatPr defaultRowHeight="14.4" x14ac:dyDescent="0.3"/>
  <cols>
    <col min="2" max="2" width="5.33203125" customWidth="1"/>
    <col min="3" max="3" width="40.6640625" customWidth="1"/>
    <col min="4" max="4" width="19.44140625" bestFit="1" customWidth="1"/>
    <col min="5" max="5" width="20.6640625" bestFit="1" customWidth="1"/>
    <col min="6" max="6" width="19.44140625" bestFit="1" customWidth="1"/>
    <col min="7" max="7" width="19" bestFit="1" customWidth="1"/>
    <col min="11" max="13" width="14.6640625" bestFit="1" customWidth="1"/>
  </cols>
  <sheetData>
    <row r="1" spans="2:7" ht="15" thickBot="1" x14ac:dyDescent="0.35"/>
    <row r="2" spans="2:7" ht="16.2" thickBot="1" x14ac:dyDescent="0.35">
      <c r="B2" s="2013" t="s">
        <v>0</v>
      </c>
      <c r="C2" s="2013" t="s">
        <v>373</v>
      </c>
      <c r="D2" s="2015" t="s">
        <v>374</v>
      </c>
      <c r="E2" s="2016"/>
      <c r="F2" s="2016"/>
      <c r="G2" s="2017"/>
    </row>
    <row r="3" spans="2:7" ht="16.2" thickBot="1" x14ac:dyDescent="0.35">
      <c r="B3" s="2014"/>
      <c r="C3" s="2014"/>
      <c r="D3" s="151" t="s">
        <v>982</v>
      </c>
      <c r="E3" s="151" t="s">
        <v>983</v>
      </c>
      <c r="F3" s="151" t="s">
        <v>984</v>
      </c>
      <c r="G3" s="151" t="s">
        <v>375</v>
      </c>
    </row>
    <row r="4" spans="2:7" ht="16.2" thickBot="1" x14ac:dyDescent="0.35">
      <c r="B4" s="152">
        <v>1</v>
      </c>
      <c r="C4" s="153" t="s">
        <v>376</v>
      </c>
      <c r="D4" s="103">
        <f>'Table 7. Mulyi year'!E29</f>
        <v>72365702</v>
      </c>
      <c r="E4" s="103">
        <f>'Table 7. Mulyi year'!F29</f>
        <v>94217124.379999995</v>
      </c>
      <c r="F4" s="103">
        <f>'Table 7. Mulyi year'!G29</f>
        <v>100999400.25</v>
      </c>
      <c r="G4" s="103">
        <f>F4+E4+D4</f>
        <v>267582226.63</v>
      </c>
    </row>
    <row r="5" spans="2:7" ht="16.2" thickBot="1" x14ac:dyDescent="0.35">
      <c r="B5" s="152">
        <v>2</v>
      </c>
      <c r="C5" s="153" t="s">
        <v>980</v>
      </c>
      <c r="D5" s="103">
        <f>'Table 7. Mulyi year'!E30</f>
        <v>30000000</v>
      </c>
      <c r="E5" s="103">
        <f>'Table 7. Mulyi year'!F30</f>
        <v>40000000</v>
      </c>
      <c r="F5" s="103">
        <f>'Table 7. Mulyi year'!G30</f>
        <v>50000000</v>
      </c>
      <c r="G5" s="103">
        <f t="shared" ref="G5:G15" si="0">F5+E5+D5</f>
        <v>120000000</v>
      </c>
    </row>
    <row r="6" spans="2:7" ht="16.2" thickBot="1" x14ac:dyDescent="0.35">
      <c r="B6" s="152">
        <v>3</v>
      </c>
      <c r="C6" s="153" t="s">
        <v>981</v>
      </c>
      <c r="D6" s="103">
        <f>'Table 7. Mulyi year'!E31</f>
        <v>30000000</v>
      </c>
      <c r="E6" s="103">
        <f>'Table 7. Mulyi year'!F31</f>
        <v>40000000</v>
      </c>
      <c r="F6" s="103">
        <f>'Table 7. Mulyi year'!G31</f>
        <v>50000000</v>
      </c>
      <c r="G6" s="103">
        <f t="shared" si="0"/>
        <v>120000000</v>
      </c>
    </row>
    <row r="7" spans="2:7" ht="16.2" thickBot="1" x14ac:dyDescent="0.35">
      <c r="B7" s="154" t="s">
        <v>377</v>
      </c>
      <c r="C7" s="155" t="s">
        <v>378</v>
      </c>
      <c r="D7" s="156">
        <f>SUM(D4:D6)</f>
        <v>132365702</v>
      </c>
      <c r="E7" s="156">
        <f t="shared" ref="E7:F7" si="1">SUM(E4:E6)</f>
        <v>174217124.38</v>
      </c>
      <c r="F7" s="156">
        <f t="shared" si="1"/>
        <v>200999400.25</v>
      </c>
      <c r="G7" s="103">
        <f t="shared" si="0"/>
        <v>507582226.63</v>
      </c>
    </row>
    <row r="8" spans="2:7" ht="15.75" customHeight="1" thickBot="1" x14ac:dyDescent="0.35">
      <c r="B8" s="152"/>
      <c r="C8" s="167" t="s">
        <v>569</v>
      </c>
      <c r="D8" s="525">
        <f>'Table 7. Mulyi year'!E32</f>
        <v>41900732.829999998</v>
      </c>
      <c r="E8" s="525">
        <v>0</v>
      </c>
      <c r="F8" s="525">
        <v>0</v>
      </c>
      <c r="G8" s="103">
        <f t="shared" si="0"/>
        <v>41900732.829999998</v>
      </c>
    </row>
    <row r="9" spans="2:7" ht="16.2" thickBot="1" x14ac:dyDescent="0.35">
      <c r="B9" s="157" t="s">
        <v>379</v>
      </c>
      <c r="C9" s="158" t="s">
        <v>380</v>
      </c>
      <c r="D9" s="156">
        <f>D8+D7</f>
        <v>174266434.82999998</v>
      </c>
      <c r="E9" s="156">
        <f t="shared" ref="E9:F9" si="2">E8+E7</f>
        <v>174217124.38</v>
      </c>
      <c r="F9" s="156">
        <f t="shared" si="2"/>
        <v>200999400.25</v>
      </c>
      <c r="G9" s="103">
        <f t="shared" si="0"/>
        <v>549482959.46000004</v>
      </c>
    </row>
    <row r="10" spans="2:7" ht="16.2" thickBot="1" x14ac:dyDescent="0.35">
      <c r="B10" s="152">
        <v>7</v>
      </c>
      <c r="C10" s="153" t="s">
        <v>381</v>
      </c>
      <c r="D10" s="159" t="s">
        <v>138</v>
      </c>
      <c r="E10" s="160" t="s">
        <v>138</v>
      </c>
      <c r="F10" s="160" t="s">
        <v>138</v>
      </c>
      <c r="G10" s="103"/>
    </row>
    <row r="11" spans="2:7" ht="16.2" thickBot="1" x14ac:dyDescent="0.35">
      <c r="B11" s="152">
        <v>8</v>
      </c>
      <c r="C11" s="153" t="s">
        <v>382</v>
      </c>
      <c r="D11" s="161">
        <f>'Table 7. Mulyi year'!E36</f>
        <v>13448892</v>
      </c>
      <c r="E11" s="161">
        <f>'Table 7. Mulyi year'!F36</f>
        <v>16138670.399999999</v>
      </c>
      <c r="F11" s="161">
        <f>'Table 7. Mulyi year'!G36</f>
        <v>19366404.48</v>
      </c>
      <c r="G11" s="103">
        <f t="shared" si="0"/>
        <v>48953966.879999995</v>
      </c>
    </row>
    <row r="12" spans="2:7" ht="16.2" thickBot="1" x14ac:dyDescent="0.35">
      <c r="B12" s="152">
        <v>9</v>
      </c>
      <c r="C12" s="138" t="s">
        <v>383</v>
      </c>
      <c r="D12" s="162">
        <f>'Table 7. Mulyi year'!E53</f>
        <v>14085000</v>
      </c>
      <c r="E12" s="162">
        <f>'Table 7. Mulyi year'!F53</f>
        <v>16902000</v>
      </c>
      <c r="F12" s="162">
        <f>'Table 7. Mulyi year'!G53</f>
        <v>20282400</v>
      </c>
      <c r="G12" s="103">
        <f t="shared" si="0"/>
        <v>51269400</v>
      </c>
    </row>
    <row r="13" spans="2:7" ht="16.2" thickBot="1" x14ac:dyDescent="0.35">
      <c r="B13" s="152">
        <v>10</v>
      </c>
      <c r="C13" s="138" t="s">
        <v>384</v>
      </c>
      <c r="D13" s="160" t="s">
        <v>138</v>
      </c>
      <c r="E13" s="160" t="s">
        <v>138</v>
      </c>
      <c r="F13" s="160" t="s">
        <v>138</v>
      </c>
      <c r="G13" s="103"/>
    </row>
    <row r="14" spans="2:7" ht="16.2" thickBot="1" x14ac:dyDescent="0.35">
      <c r="B14" s="152">
        <v>11</v>
      </c>
      <c r="C14" s="138" t="s">
        <v>385</v>
      </c>
      <c r="D14" s="160" t="s">
        <v>138</v>
      </c>
      <c r="E14" s="160" t="s">
        <v>138</v>
      </c>
      <c r="F14" s="160" t="s">
        <v>138</v>
      </c>
      <c r="G14" s="103"/>
    </row>
    <row r="15" spans="2:7" ht="31.8" thickBot="1" x14ac:dyDescent="0.35">
      <c r="B15" s="157">
        <v>12</v>
      </c>
      <c r="C15" s="158" t="s">
        <v>386</v>
      </c>
      <c r="D15" s="156">
        <f>SUM(D10:D14)</f>
        <v>27533892</v>
      </c>
      <c r="E15" s="156">
        <f t="shared" ref="E15:F15" si="3">SUM(E10:E14)</f>
        <v>33040670.399999999</v>
      </c>
      <c r="F15" s="156">
        <f t="shared" si="3"/>
        <v>39648804.480000004</v>
      </c>
      <c r="G15" s="103">
        <f t="shared" si="0"/>
        <v>100223366.88</v>
      </c>
    </row>
    <row r="16" spans="2:7" ht="16.2" thickBot="1" x14ac:dyDescent="0.35">
      <c r="B16" s="152">
        <v>13</v>
      </c>
      <c r="C16" s="153" t="s">
        <v>387</v>
      </c>
      <c r="D16" s="139"/>
      <c r="E16" s="139"/>
      <c r="F16" s="139"/>
      <c r="G16" s="103"/>
    </row>
    <row r="17" spans="2:15" ht="16.2" thickBot="1" x14ac:dyDescent="0.35">
      <c r="B17" s="163" t="s">
        <v>388</v>
      </c>
      <c r="C17" s="164" t="s">
        <v>389</v>
      </c>
      <c r="D17" s="165">
        <f>D15+D9</f>
        <v>201800326.82999998</v>
      </c>
      <c r="E17" s="165">
        <f t="shared" ref="E17:G17" si="4">E15+E9</f>
        <v>207257794.78</v>
      </c>
      <c r="F17" s="165">
        <f t="shared" si="4"/>
        <v>240648204.73000002</v>
      </c>
      <c r="G17" s="165">
        <f t="shared" si="4"/>
        <v>649706326.34000003</v>
      </c>
    </row>
    <row r="18" spans="2:15" x14ac:dyDescent="0.3">
      <c r="K18" s="166">
        <v>174266434.83000001</v>
      </c>
      <c r="L18" s="166"/>
      <c r="M18" s="166"/>
      <c r="N18" s="166"/>
      <c r="O18" s="166"/>
    </row>
    <row r="19" spans="2:15" x14ac:dyDescent="0.3">
      <c r="D19" s="4"/>
      <c r="K19" s="166">
        <v>41900732.829999998</v>
      </c>
      <c r="L19" s="166"/>
      <c r="M19" s="166"/>
      <c r="N19" s="166"/>
      <c r="O19" s="166"/>
    </row>
    <row r="20" spans="2:15" x14ac:dyDescent="0.3">
      <c r="D20" s="4"/>
      <c r="E20" s="166"/>
      <c r="F20" s="4"/>
      <c r="K20" s="166">
        <f>K18-K19</f>
        <v>132365702.00000001</v>
      </c>
      <c r="L20" s="166"/>
      <c r="M20" s="166"/>
      <c r="N20" s="166"/>
      <c r="O20" s="166"/>
    </row>
    <row r="21" spans="2:15" x14ac:dyDescent="0.3">
      <c r="E21" s="1">
        <f>E12-D12</f>
        <v>2817000</v>
      </c>
      <c r="K21" s="166"/>
      <c r="L21" s="166"/>
      <c r="M21" s="166"/>
      <c r="N21" s="166"/>
      <c r="O21" s="166"/>
    </row>
    <row r="22" spans="2:15" x14ac:dyDescent="0.3">
      <c r="K22" s="166"/>
      <c r="L22" s="166"/>
      <c r="M22" s="166"/>
      <c r="N22" s="166"/>
      <c r="O22" s="166"/>
    </row>
    <row r="23" spans="2:15" x14ac:dyDescent="0.3">
      <c r="D23" s="166">
        <v>105194318</v>
      </c>
      <c r="E23" s="166">
        <v>123654115.516</v>
      </c>
      <c r="F23" s="166">
        <v>142202232.8434</v>
      </c>
      <c r="K23" s="166"/>
      <c r="L23" s="166"/>
      <c r="M23" s="166"/>
      <c r="N23" s="166"/>
      <c r="O23" s="166"/>
    </row>
    <row r="24" spans="2:15" x14ac:dyDescent="0.3">
      <c r="E24" s="4">
        <f>(E23-D23)/D23</f>
        <v>0.17548283849323498</v>
      </c>
      <c r="F24" s="4">
        <f>(F23-E23)/E23</f>
        <v>0.15</v>
      </c>
      <c r="K24" s="166"/>
      <c r="L24" s="166"/>
      <c r="M24" s="166"/>
      <c r="N24" s="166"/>
      <c r="O24" s="166"/>
    </row>
    <row r="25" spans="2:15" x14ac:dyDescent="0.3">
      <c r="K25" s="166"/>
      <c r="L25" s="166"/>
      <c r="M25" s="166"/>
      <c r="N25" s="166"/>
    </row>
    <row r="26" spans="2:15" x14ac:dyDescent="0.3">
      <c r="K26" s="166">
        <v>132365702</v>
      </c>
      <c r="L26" s="166">
        <v>60000000</v>
      </c>
      <c r="M26" s="166">
        <f>K26-L26</f>
        <v>72365702</v>
      </c>
      <c r="N26" s="166"/>
    </row>
    <row r="27" spans="2:15" x14ac:dyDescent="0.3">
      <c r="D27" s="166">
        <v>7299999.9957000241</v>
      </c>
      <c r="E27" s="166">
        <v>15117834.624270037</v>
      </c>
      <c r="F27" s="166">
        <v>22564573.615113527</v>
      </c>
      <c r="K27" s="166">
        <v>174217124.38</v>
      </c>
      <c r="L27" s="166">
        <v>80000000</v>
      </c>
      <c r="M27" s="166">
        <f t="shared" ref="M27:M28" si="5">K27-L27</f>
        <v>94217124.379999995</v>
      </c>
      <c r="N27" s="166"/>
    </row>
    <row r="28" spans="2:15" x14ac:dyDescent="0.3">
      <c r="E28" s="4">
        <f>(E27-D27)/D27</f>
        <v>1.0709362511198648</v>
      </c>
      <c r="F28" s="4">
        <f>(F27-E27)/E27</f>
        <v>0.49257973618050838</v>
      </c>
      <c r="K28" s="166">
        <v>200999400.25</v>
      </c>
      <c r="L28" s="166">
        <v>100000000</v>
      </c>
      <c r="M28" s="166">
        <f t="shared" si="5"/>
        <v>100999400.25</v>
      </c>
      <c r="N28" s="166"/>
    </row>
    <row r="29" spans="2:15" x14ac:dyDescent="0.3">
      <c r="K29" s="166"/>
      <c r="L29" s="166"/>
      <c r="M29" s="166"/>
      <c r="N29" s="166"/>
    </row>
    <row r="30" spans="2:15" x14ac:dyDescent="0.3">
      <c r="D30" s="166">
        <v>12699999.995700024</v>
      </c>
      <c r="E30" s="166">
        <v>20044531.767770037</v>
      </c>
      <c r="F30" s="166">
        <v>26919972.47363852</v>
      </c>
      <c r="L30" s="166"/>
      <c r="M30" s="166"/>
      <c r="N30" s="166"/>
    </row>
    <row r="31" spans="2:15" x14ac:dyDescent="0.3">
      <c r="E31" s="4">
        <f>(E30-D30)/D30</f>
        <v>0.57830958854777403</v>
      </c>
      <c r="F31" s="4">
        <f>(F30-E30)/E30</f>
        <v>0.34300829700215935</v>
      </c>
      <c r="L31" s="166"/>
      <c r="M31" s="166"/>
      <c r="N31" s="166"/>
    </row>
  </sheetData>
  <mergeCells count="3">
    <mergeCell ref="B2:B3"/>
    <mergeCell ref="C2:C3"/>
    <mergeCell ref="D2:G2"/>
  </mergeCells>
  <pageMargins left="0.7" right="0.7" top="0.75" bottom="0.75" header="0.3" footer="0.3"/>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topLeftCell="A37" workbookViewId="0">
      <selection activeCell="E16" sqref="E16"/>
    </sheetView>
  </sheetViews>
  <sheetFormatPr defaultRowHeight="14.4" x14ac:dyDescent="0.3"/>
  <cols>
    <col min="1" max="1" width="5.109375" style="1902" customWidth="1"/>
    <col min="2" max="2" width="15.5546875" style="1902" customWidth="1"/>
    <col min="3" max="3" width="58.88671875" style="1902" customWidth="1"/>
    <col min="4" max="4" width="13.88671875" style="1902" bestFit="1" customWidth="1"/>
    <col min="5" max="5" width="14.44140625" style="1902" customWidth="1"/>
    <col min="6" max="6" width="13.88671875" style="1902" bestFit="1" customWidth="1"/>
    <col min="7" max="7" width="13.88671875" style="1902" customWidth="1"/>
    <col min="8" max="11" width="13.88671875" style="1902" hidden="1" customWidth="1"/>
    <col min="12" max="13" width="9.109375" style="1902" hidden="1" customWidth="1"/>
    <col min="14" max="14" width="0.33203125" style="1902" hidden="1" customWidth="1"/>
    <col min="15" max="23" width="9.109375" style="1902" hidden="1" customWidth="1"/>
    <col min="24" max="16384" width="8.88671875" style="1902"/>
  </cols>
  <sheetData>
    <row r="1" spans="1:24" ht="15.6" x14ac:dyDescent="0.3">
      <c r="A1" s="1903"/>
      <c r="B1" s="2018" t="s">
        <v>1005</v>
      </c>
      <c r="C1" s="2018"/>
      <c r="D1" s="1904"/>
      <c r="E1" s="1904"/>
      <c r="F1" s="1904"/>
      <c r="G1" s="1904"/>
      <c r="H1" s="3"/>
      <c r="I1" s="3"/>
      <c r="J1" s="3"/>
      <c r="K1" s="3"/>
      <c r="L1" s="3"/>
      <c r="M1" s="3"/>
      <c r="N1" s="3"/>
      <c r="O1" s="3"/>
      <c r="P1" s="3"/>
      <c r="Q1" s="3"/>
      <c r="R1" s="3"/>
      <c r="S1" s="3"/>
      <c r="T1" s="3"/>
      <c r="U1" s="3"/>
      <c r="V1" s="3"/>
      <c r="W1" s="3"/>
    </row>
    <row r="2" spans="1:24" ht="15.6" x14ac:dyDescent="0.3">
      <c r="A2" s="2019"/>
      <c r="B2" s="1905" t="s">
        <v>437</v>
      </c>
      <c r="C2" s="1906" t="s">
        <v>438</v>
      </c>
      <c r="D2" s="1905">
        <v>2012</v>
      </c>
      <c r="E2" s="1905">
        <v>2013</v>
      </c>
      <c r="F2" s="1905">
        <v>2014</v>
      </c>
      <c r="G2" s="1905">
        <v>2015</v>
      </c>
      <c r="H2" s="3"/>
      <c r="I2" s="3"/>
      <c r="J2" s="3"/>
      <c r="K2" s="3"/>
      <c r="L2" s="3"/>
      <c r="M2" s="3"/>
      <c r="N2" s="3"/>
      <c r="O2" s="3"/>
      <c r="P2" s="3"/>
      <c r="Q2" s="3"/>
      <c r="R2" s="3"/>
      <c r="S2" s="3"/>
      <c r="T2" s="3"/>
      <c r="U2" s="3"/>
      <c r="V2" s="3"/>
      <c r="W2" s="3"/>
    </row>
    <row r="3" spans="1:24" ht="15.6" x14ac:dyDescent="0.3">
      <c r="A3" s="2019"/>
      <c r="B3" s="1907" t="s">
        <v>1</v>
      </c>
      <c r="C3" s="1908" t="s">
        <v>439</v>
      </c>
      <c r="D3" s="1909" t="s">
        <v>1006</v>
      </c>
      <c r="E3" s="1909" t="s">
        <v>563</v>
      </c>
      <c r="F3" s="1909" t="s">
        <v>563</v>
      </c>
      <c r="G3" s="1909" t="s">
        <v>563</v>
      </c>
      <c r="H3" s="3"/>
      <c r="I3" s="3"/>
      <c r="J3" s="3"/>
      <c r="K3" s="3"/>
      <c r="L3" s="3"/>
      <c r="M3" s="3"/>
      <c r="N3" s="3"/>
      <c r="O3" s="3"/>
      <c r="P3" s="3"/>
      <c r="Q3" s="3"/>
      <c r="R3" s="3"/>
      <c r="S3" s="3"/>
      <c r="T3" s="3"/>
      <c r="U3" s="3"/>
      <c r="V3" s="3"/>
      <c r="W3" s="3"/>
    </row>
    <row r="4" spans="1:24" ht="15.6" x14ac:dyDescent="0.3">
      <c r="A4" s="1910">
        <v>1</v>
      </c>
      <c r="B4" s="1911" t="s">
        <v>440</v>
      </c>
      <c r="C4" s="1912" t="s">
        <v>441</v>
      </c>
      <c r="D4" s="1913">
        <v>7680823.8700000001</v>
      </c>
      <c r="E4" s="1913">
        <v>10623174.789999999</v>
      </c>
      <c r="F4" s="1913">
        <v>11792523.390000001</v>
      </c>
      <c r="G4" s="1913">
        <v>13091650.57</v>
      </c>
      <c r="H4" s="3"/>
      <c r="I4" s="3"/>
      <c r="J4" s="3"/>
      <c r="K4" s="3"/>
      <c r="L4" s="3"/>
      <c r="M4" s="3"/>
      <c r="N4" s="3"/>
      <c r="O4" s="3"/>
      <c r="P4" s="3"/>
      <c r="Q4" s="3"/>
      <c r="R4" s="3"/>
      <c r="S4" s="3"/>
      <c r="T4" s="3"/>
      <c r="U4" s="3"/>
      <c r="V4" s="3"/>
      <c r="W4" s="3"/>
    </row>
    <row r="5" spans="1:24" ht="15.6" x14ac:dyDescent="0.3">
      <c r="A5" s="1910">
        <v>2</v>
      </c>
      <c r="B5" s="1911" t="s">
        <v>442</v>
      </c>
      <c r="C5" s="1912" t="s">
        <v>443</v>
      </c>
      <c r="D5" s="1913">
        <v>37988738.229999997</v>
      </c>
      <c r="E5" s="1913">
        <v>60016200.740000002</v>
      </c>
      <c r="F5" s="1913">
        <v>63433109.82</v>
      </c>
      <c r="G5" s="1913">
        <v>71781773.5</v>
      </c>
      <c r="H5" s="3"/>
      <c r="I5" s="3"/>
      <c r="J5" s="3"/>
      <c r="K5" s="3"/>
      <c r="L5" s="3"/>
      <c r="M5" s="3"/>
      <c r="N5" s="3"/>
      <c r="O5" s="3"/>
      <c r="P5" s="3"/>
      <c r="Q5" s="3"/>
      <c r="R5" s="3"/>
      <c r="S5" s="3"/>
      <c r="T5" s="3"/>
      <c r="U5" s="3"/>
      <c r="V5" s="3"/>
      <c r="W5" s="3"/>
    </row>
    <row r="6" spans="1:24" ht="15.6" x14ac:dyDescent="0.3">
      <c r="A6" s="1910">
        <v>3</v>
      </c>
      <c r="B6" s="1911">
        <v>1731</v>
      </c>
      <c r="C6" s="1912" t="s">
        <v>444</v>
      </c>
      <c r="D6" s="1913">
        <v>8666083.5899999999</v>
      </c>
      <c r="E6" s="1913">
        <v>6183802.3099999996</v>
      </c>
      <c r="F6" s="1913">
        <v>6802182.54</v>
      </c>
      <c r="G6" s="1913">
        <v>7482400.7999999998</v>
      </c>
      <c r="H6" s="3"/>
      <c r="I6" s="3"/>
      <c r="J6" s="3"/>
      <c r="K6" s="3"/>
      <c r="L6" s="3"/>
      <c r="M6" s="3"/>
      <c r="N6" s="3"/>
      <c r="O6" s="3"/>
      <c r="P6" s="3"/>
      <c r="Q6" s="3"/>
      <c r="R6" s="3"/>
      <c r="S6" s="3"/>
      <c r="T6" s="3"/>
      <c r="U6" s="3"/>
      <c r="V6" s="3"/>
      <c r="W6" s="3"/>
    </row>
    <row r="7" spans="1:24" ht="15.6" x14ac:dyDescent="0.3">
      <c r="A7" s="1910">
        <v>4</v>
      </c>
      <c r="B7" s="1911" t="s">
        <v>445</v>
      </c>
      <c r="C7" s="1912" t="s">
        <v>446</v>
      </c>
      <c r="D7" s="1913">
        <v>3120185.12</v>
      </c>
      <c r="E7" s="1913">
        <v>1380689.32</v>
      </c>
      <c r="F7" s="1913">
        <v>1762503.12</v>
      </c>
      <c r="G7" s="1913">
        <v>2305220.41</v>
      </c>
      <c r="H7" s="3"/>
      <c r="I7" s="3"/>
      <c r="J7" s="3"/>
      <c r="K7" s="3"/>
      <c r="L7" s="3"/>
      <c r="M7" s="3"/>
      <c r="N7" s="3"/>
      <c r="O7" s="3"/>
      <c r="P7" s="3"/>
      <c r="Q7" s="3"/>
      <c r="R7" s="3"/>
      <c r="S7" s="3"/>
      <c r="T7" s="3"/>
      <c r="U7" s="3"/>
      <c r="V7" s="3"/>
      <c r="W7" s="3"/>
    </row>
    <row r="8" spans="1:24" ht="15.6" x14ac:dyDescent="0.3">
      <c r="A8" s="1910">
        <v>5</v>
      </c>
      <c r="B8" s="1911" t="s">
        <v>447</v>
      </c>
      <c r="C8" s="1912" t="s">
        <v>448</v>
      </c>
      <c r="D8" s="1913">
        <v>7734402.0700000003</v>
      </c>
      <c r="E8" s="1913">
        <v>4259088.76</v>
      </c>
      <c r="F8" s="1913">
        <v>5723189.8200000003</v>
      </c>
      <c r="G8" s="1913">
        <v>7771089.5599999996</v>
      </c>
      <c r="H8" s="3"/>
      <c r="I8" s="3"/>
      <c r="J8" s="3"/>
      <c r="K8" s="3"/>
      <c r="L8" s="3"/>
      <c r="M8" s="3"/>
      <c r="N8" s="3"/>
      <c r="O8" s="3"/>
      <c r="P8" s="3"/>
      <c r="Q8" s="3"/>
      <c r="R8" s="3"/>
      <c r="S8" s="3"/>
      <c r="T8" s="3"/>
      <c r="U8" s="3"/>
      <c r="V8" s="3"/>
      <c r="W8" s="3"/>
    </row>
    <row r="9" spans="1:24" ht="15.6" x14ac:dyDescent="0.3">
      <c r="A9" s="1910">
        <v>6</v>
      </c>
      <c r="B9" s="1914" t="s">
        <v>1007</v>
      </c>
      <c r="C9" s="1915" t="s">
        <v>449</v>
      </c>
      <c r="D9" s="1916">
        <f>SUM(D4:D8)</f>
        <v>65190232.879999995</v>
      </c>
      <c r="E9" s="1916">
        <f t="shared" ref="E9:W9" si="0">SUM(E4:E8)</f>
        <v>82462955.920000002</v>
      </c>
      <c r="F9" s="1916">
        <f t="shared" si="0"/>
        <v>89513508.690000027</v>
      </c>
      <c r="G9" s="1916">
        <f t="shared" si="0"/>
        <v>102432134.83999999</v>
      </c>
      <c r="H9" s="1916">
        <f t="shared" si="0"/>
        <v>0</v>
      </c>
      <c r="I9" s="1916">
        <f t="shared" si="0"/>
        <v>0</v>
      </c>
      <c r="J9" s="1916">
        <f t="shared" si="0"/>
        <v>0</v>
      </c>
      <c r="K9" s="1916">
        <f t="shared" si="0"/>
        <v>0</v>
      </c>
      <c r="L9" s="1916">
        <f t="shared" si="0"/>
        <v>0</v>
      </c>
      <c r="M9" s="1916">
        <f t="shared" si="0"/>
        <v>0</v>
      </c>
      <c r="N9" s="1916">
        <f t="shared" si="0"/>
        <v>0</v>
      </c>
      <c r="O9" s="1916">
        <f t="shared" si="0"/>
        <v>0</v>
      </c>
      <c r="P9" s="1916">
        <f t="shared" si="0"/>
        <v>0</v>
      </c>
      <c r="Q9" s="1916">
        <f t="shared" si="0"/>
        <v>0</v>
      </c>
      <c r="R9" s="1916">
        <f t="shared" si="0"/>
        <v>0</v>
      </c>
      <c r="S9" s="1916">
        <f t="shared" si="0"/>
        <v>0</v>
      </c>
      <c r="T9" s="1916">
        <f t="shared" si="0"/>
        <v>0</v>
      </c>
      <c r="U9" s="1916">
        <f t="shared" si="0"/>
        <v>0</v>
      </c>
      <c r="V9" s="1916">
        <f t="shared" si="0"/>
        <v>0</v>
      </c>
      <c r="W9" s="1916">
        <f t="shared" si="0"/>
        <v>0</v>
      </c>
    </row>
    <row r="10" spans="1:24" ht="15.6" x14ac:dyDescent="0.3">
      <c r="A10" s="1910">
        <v>7</v>
      </c>
      <c r="B10" s="1918"/>
      <c r="C10" s="1919" t="s">
        <v>450</v>
      </c>
      <c r="D10" s="1920"/>
      <c r="E10" s="1921"/>
      <c r="F10" s="1921"/>
      <c r="G10" s="1921"/>
      <c r="H10" s="3"/>
      <c r="I10" s="3"/>
      <c r="J10" s="3"/>
      <c r="K10" s="3"/>
      <c r="L10" s="3"/>
      <c r="M10" s="3"/>
      <c r="N10" s="3"/>
      <c r="O10" s="3"/>
      <c r="P10" s="3"/>
      <c r="Q10" s="3"/>
      <c r="R10" s="3"/>
      <c r="S10" s="3"/>
      <c r="T10" s="3"/>
      <c r="U10" s="3"/>
      <c r="V10" s="3"/>
      <c r="W10" s="3"/>
    </row>
    <row r="11" spans="1:24" ht="15.6" x14ac:dyDescent="0.3">
      <c r="A11" s="1910">
        <v>8</v>
      </c>
      <c r="B11" s="1911">
        <v>1604</v>
      </c>
      <c r="C11" s="1912" t="s">
        <v>451</v>
      </c>
      <c r="D11" s="1913">
        <v>1896426.21</v>
      </c>
      <c r="E11" s="1913">
        <v>2135150</v>
      </c>
      <c r="F11" s="1913">
        <v>2348665</v>
      </c>
      <c r="G11" s="1913">
        <v>2583531.5</v>
      </c>
      <c r="H11" s="3"/>
      <c r="I11" s="3"/>
      <c r="J11" s="3"/>
      <c r="K11" s="3"/>
      <c r="L11" s="3"/>
      <c r="M11" s="3"/>
      <c r="N11" s="3"/>
      <c r="O11" s="3"/>
      <c r="P11" s="3"/>
      <c r="Q11" s="3"/>
      <c r="R11" s="3"/>
      <c r="S11" s="3"/>
      <c r="T11" s="3"/>
      <c r="U11" s="3"/>
      <c r="V11" s="3"/>
      <c r="W11" s="3"/>
    </row>
    <row r="12" spans="1:24" ht="15.6" x14ac:dyDescent="0.3">
      <c r="A12" s="1910">
        <v>9</v>
      </c>
      <c r="B12" s="1911"/>
      <c r="C12" s="1912" t="s">
        <v>452</v>
      </c>
      <c r="D12" s="1913">
        <v>12187734.48</v>
      </c>
      <c r="E12" s="1922">
        <v>0</v>
      </c>
      <c r="F12" s="1922">
        <v>0</v>
      </c>
      <c r="G12" s="1922">
        <v>0</v>
      </c>
      <c r="H12" s="3"/>
      <c r="I12" s="3"/>
      <c r="J12" s="3"/>
      <c r="K12" s="3"/>
      <c r="L12" s="3"/>
      <c r="M12" s="3"/>
      <c r="N12" s="3"/>
      <c r="O12" s="3"/>
      <c r="P12" s="3"/>
      <c r="Q12" s="3"/>
      <c r="R12" s="3"/>
      <c r="S12" s="3"/>
      <c r="T12" s="3"/>
      <c r="U12" s="3"/>
      <c r="V12" s="3"/>
      <c r="W12" s="3"/>
    </row>
    <row r="13" spans="1:24" ht="15.6" x14ac:dyDescent="0.3">
      <c r="A13" s="1910">
        <v>10</v>
      </c>
      <c r="B13" s="1923" t="s">
        <v>1008</v>
      </c>
      <c r="C13" s="1919" t="s">
        <v>453</v>
      </c>
      <c r="D13" s="1924">
        <f>D11+D12</f>
        <v>14084160.690000001</v>
      </c>
      <c r="E13" s="1924">
        <f t="shared" ref="E13:G13" si="1">E11+E12</f>
        <v>2135150</v>
      </c>
      <c r="F13" s="1924">
        <f t="shared" si="1"/>
        <v>2348665</v>
      </c>
      <c r="G13" s="1924">
        <f t="shared" si="1"/>
        <v>2583531.5</v>
      </c>
      <c r="H13" s="1917"/>
      <c r="I13" s="1917"/>
      <c r="J13" s="1917"/>
      <c r="K13" s="1917"/>
      <c r="L13" s="3"/>
      <c r="M13" s="3"/>
      <c r="N13" s="3"/>
      <c r="O13" s="3"/>
      <c r="P13" s="3"/>
      <c r="Q13" s="3"/>
      <c r="R13" s="3"/>
      <c r="S13" s="3"/>
      <c r="T13" s="3"/>
      <c r="U13" s="3"/>
      <c r="V13" s="3"/>
      <c r="W13" s="3"/>
    </row>
    <row r="14" spans="1:24" ht="15.6" x14ac:dyDescent="0.3">
      <c r="A14" s="1910">
        <v>11</v>
      </c>
      <c r="B14" s="1925" t="s">
        <v>1009</v>
      </c>
      <c r="C14" s="1915" t="s">
        <v>454</v>
      </c>
      <c r="D14" s="1926">
        <f>D9+D13</f>
        <v>79274393.569999993</v>
      </c>
      <c r="E14" s="1926">
        <f t="shared" ref="E14:W14" si="2">E9+E13</f>
        <v>84598105.920000002</v>
      </c>
      <c r="F14" s="1926">
        <f t="shared" si="2"/>
        <v>91862173.690000027</v>
      </c>
      <c r="G14" s="1926">
        <f t="shared" si="2"/>
        <v>105015666.33999999</v>
      </c>
      <c r="H14" s="1926">
        <f t="shared" si="2"/>
        <v>0</v>
      </c>
      <c r="I14" s="1926">
        <f t="shared" si="2"/>
        <v>0</v>
      </c>
      <c r="J14" s="1926">
        <f t="shared" si="2"/>
        <v>0</v>
      </c>
      <c r="K14" s="1926">
        <f t="shared" si="2"/>
        <v>0</v>
      </c>
      <c r="L14" s="1926">
        <f t="shared" si="2"/>
        <v>0</v>
      </c>
      <c r="M14" s="1926">
        <f t="shared" si="2"/>
        <v>0</v>
      </c>
      <c r="N14" s="1926">
        <f t="shared" si="2"/>
        <v>0</v>
      </c>
      <c r="O14" s="1926">
        <f t="shared" si="2"/>
        <v>0</v>
      </c>
      <c r="P14" s="1926">
        <f t="shared" si="2"/>
        <v>0</v>
      </c>
      <c r="Q14" s="1926">
        <f t="shared" si="2"/>
        <v>0</v>
      </c>
      <c r="R14" s="1926">
        <f t="shared" si="2"/>
        <v>0</v>
      </c>
      <c r="S14" s="1926">
        <f t="shared" si="2"/>
        <v>0</v>
      </c>
      <c r="T14" s="1926">
        <f t="shared" si="2"/>
        <v>0</v>
      </c>
      <c r="U14" s="1926">
        <f t="shared" si="2"/>
        <v>0</v>
      </c>
      <c r="V14" s="1926">
        <f t="shared" si="2"/>
        <v>0</v>
      </c>
      <c r="W14" s="1926">
        <f t="shared" si="2"/>
        <v>0</v>
      </c>
      <c r="X14" s="1"/>
    </row>
    <row r="15" spans="1:24" ht="15.6" x14ac:dyDescent="0.3">
      <c r="A15" s="1910">
        <v>12</v>
      </c>
      <c r="B15" s="1927" t="s">
        <v>2</v>
      </c>
      <c r="C15" s="1928" t="s">
        <v>455</v>
      </c>
      <c r="D15" s="1929"/>
      <c r="E15" s="1929"/>
      <c r="F15" s="1929"/>
      <c r="G15" s="1929"/>
      <c r="H15" s="3"/>
      <c r="I15" s="3"/>
      <c r="J15" s="3"/>
      <c r="K15" s="3"/>
      <c r="L15" s="3"/>
      <c r="M15" s="3"/>
      <c r="N15" s="3"/>
      <c r="O15" s="3"/>
      <c r="P15" s="3"/>
      <c r="Q15" s="3"/>
      <c r="R15" s="3"/>
      <c r="S15" s="3"/>
      <c r="T15" s="3"/>
      <c r="U15" s="3"/>
      <c r="V15" s="3"/>
      <c r="W15" s="3"/>
    </row>
    <row r="16" spans="1:24" ht="15.6" x14ac:dyDescent="0.3">
      <c r="A16" s="1910">
        <v>13</v>
      </c>
      <c r="B16" s="1911">
        <v>6100</v>
      </c>
      <c r="C16" s="1912" t="s">
        <v>456</v>
      </c>
      <c r="D16" s="1913">
        <v>22002981.079999998</v>
      </c>
      <c r="E16" s="1913">
        <v>18667085</v>
      </c>
      <c r="F16" s="1913">
        <v>25413443.149999999</v>
      </c>
      <c r="G16" s="1913">
        <v>26684115.300000001</v>
      </c>
      <c r="H16" s="3"/>
      <c r="I16" s="3"/>
      <c r="J16" s="3"/>
      <c r="K16" s="3"/>
      <c r="L16" s="3"/>
      <c r="M16" s="3"/>
      <c r="N16" s="3"/>
      <c r="O16" s="3"/>
      <c r="P16" s="3"/>
      <c r="Q16" s="3"/>
      <c r="R16" s="3"/>
      <c r="S16" s="3"/>
      <c r="T16" s="3"/>
      <c r="U16" s="3"/>
      <c r="V16" s="3"/>
      <c r="W16" s="3"/>
    </row>
    <row r="17" spans="1:23" ht="15.6" x14ac:dyDescent="0.3">
      <c r="A17" s="1910">
        <v>14</v>
      </c>
      <c r="B17" s="1911">
        <v>6200</v>
      </c>
      <c r="C17" s="1912" t="s">
        <v>1010</v>
      </c>
      <c r="D17" s="1913">
        <v>13088419.41</v>
      </c>
      <c r="E17" s="1913">
        <v>12804570.310000001</v>
      </c>
      <c r="F17" s="1913">
        <v>15836987.49</v>
      </c>
      <c r="G17" s="1913">
        <v>17420686.23</v>
      </c>
      <c r="H17" s="3"/>
      <c r="I17" s="3"/>
      <c r="J17" s="3"/>
      <c r="K17" s="3"/>
      <c r="L17" s="3"/>
      <c r="M17" s="3"/>
      <c r="N17" s="3"/>
      <c r="O17" s="3"/>
      <c r="P17" s="3"/>
      <c r="Q17" s="3"/>
      <c r="R17" s="3"/>
      <c r="S17" s="3"/>
      <c r="T17" s="3"/>
      <c r="U17" s="3"/>
      <c r="V17" s="3"/>
      <c r="W17" s="3"/>
    </row>
    <row r="18" spans="1:23" ht="15.6" x14ac:dyDescent="0.3">
      <c r="A18" s="1910">
        <v>15</v>
      </c>
      <c r="B18" s="1911">
        <v>6245</v>
      </c>
      <c r="C18" s="1912" t="s">
        <v>458</v>
      </c>
      <c r="D18" s="1913">
        <v>14011601.85</v>
      </c>
      <c r="E18" s="1913">
        <v>18049993.57</v>
      </c>
      <c r="F18" s="1913">
        <v>19854992.93</v>
      </c>
      <c r="G18" s="1913">
        <v>21840492.219999999</v>
      </c>
      <c r="H18" s="3"/>
      <c r="I18" s="3"/>
      <c r="J18" s="3"/>
      <c r="K18" s="3"/>
      <c r="L18" s="3"/>
      <c r="M18" s="3"/>
      <c r="N18" s="3"/>
      <c r="O18" s="3"/>
      <c r="P18" s="3"/>
      <c r="Q18" s="3"/>
      <c r="R18" s="3"/>
      <c r="S18" s="3"/>
      <c r="T18" s="3"/>
      <c r="U18" s="3"/>
      <c r="V18" s="3"/>
      <c r="W18" s="3"/>
    </row>
    <row r="19" spans="1:23" ht="15.6" x14ac:dyDescent="0.3">
      <c r="A19" s="1910">
        <v>16</v>
      </c>
      <c r="B19" s="1911"/>
      <c r="C19" s="1912" t="s">
        <v>459</v>
      </c>
      <c r="D19" s="1913">
        <v>2135150</v>
      </c>
      <c r="E19" s="1913">
        <v>2135150</v>
      </c>
      <c r="F19" s="1913">
        <v>2348665</v>
      </c>
      <c r="G19" s="1913">
        <v>2583531.5</v>
      </c>
      <c r="H19" s="3"/>
      <c r="I19" s="3"/>
      <c r="J19" s="3"/>
      <c r="K19" s="3"/>
      <c r="L19" s="3"/>
      <c r="M19" s="3"/>
      <c r="N19" s="3"/>
      <c r="O19" s="3"/>
      <c r="P19" s="3"/>
      <c r="Q19" s="3"/>
      <c r="R19" s="3"/>
      <c r="S19" s="3"/>
      <c r="T19" s="3"/>
      <c r="U19" s="3"/>
      <c r="V19" s="3"/>
      <c r="W19" s="3"/>
    </row>
    <row r="20" spans="1:23" ht="15.6" x14ac:dyDescent="0.3">
      <c r="A20" s="1910">
        <v>17</v>
      </c>
      <c r="B20" s="1930" t="s">
        <v>1011</v>
      </c>
      <c r="C20" s="1931" t="s">
        <v>460</v>
      </c>
      <c r="D20" s="1932">
        <f>D18+D19</f>
        <v>16146751.85</v>
      </c>
      <c r="E20" s="1932">
        <f t="shared" ref="E20:W20" si="3">E18+E19</f>
        <v>20185143.57</v>
      </c>
      <c r="F20" s="1932">
        <f t="shared" si="3"/>
        <v>22203657.93</v>
      </c>
      <c r="G20" s="1932">
        <f t="shared" si="3"/>
        <v>24424023.719999999</v>
      </c>
      <c r="H20" s="1932">
        <f t="shared" si="3"/>
        <v>0</v>
      </c>
      <c r="I20" s="1932">
        <f t="shared" si="3"/>
        <v>0</v>
      </c>
      <c r="J20" s="1932">
        <f t="shared" si="3"/>
        <v>0</v>
      </c>
      <c r="K20" s="1932">
        <f t="shared" si="3"/>
        <v>0</v>
      </c>
      <c r="L20" s="1932">
        <f t="shared" si="3"/>
        <v>0</v>
      </c>
      <c r="M20" s="1932">
        <f t="shared" si="3"/>
        <v>0</v>
      </c>
      <c r="N20" s="1932">
        <f t="shared" si="3"/>
        <v>0</v>
      </c>
      <c r="O20" s="1932">
        <f t="shared" si="3"/>
        <v>0</v>
      </c>
      <c r="P20" s="1932">
        <f t="shared" si="3"/>
        <v>0</v>
      </c>
      <c r="Q20" s="1932">
        <f t="shared" si="3"/>
        <v>0</v>
      </c>
      <c r="R20" s="1932">
        <f t="shared" si="3"/>
        <v>0</v>
      </c>
      <c r="S20" s="1932">
        <f t="shared" si="3"/>
        <v>0</v>
      </c>
      <c r="T20" s="1932">
        <f t="shared" si="3"/>
        <v>0</v>
      </c>
      <c r="U20" s="1932">
        <f t="shared" si="3"/>
        <v>0</v>
      </c>
      <c r="V20" s="1932">
        <f t="shared" si="3"/>
        <v>0</v>
      </c>
      <c r="W20" s="1932">
        <f t="shared" si="3"/>
        <v>0</v>
      </c>
    </row>
    <row r="21" spans="1:23" ht="15.6" x14ac:dyDescent="0.3">
      <c r="A21" s="1910">
        <v>18</v>
      </c>
      <c r="B21" s="1911">
        <v>6300</v>
      </c>
      <c r="C21" s="1912" t="s">
        <v>461</v>
      </c>
      <c r="D21" s="1913">
        <v>2000000</v>
      </c>
      <c r="E21" s="1913">
        <v>26300658.559999999</v>
      </c>
      <c r="F21" s="1913">
        <v>27245855.109999999</v>
      </c>
      <c r="G21" s="1913">
        <v>27357245.129999999</v>
      </c>
      <c r="H21" s="3"/>
      <c r="I21" s="3"/>
      <c r="J21" s="3"/>
      <c r="K21" s="3"/>
      <c r="L21" s="3"/>
      <c r="M21" s="3"/>
      <c r="N21" s="3"/>
      <c r="O21" s="3"/>
      <c r="P21" s="3"/>
      <c r="Q21" s="3"/>
      <c r="R21" s="3"/>
      <c r="S21" s="3"/>
      <c r="T21" s="3"/>
      <c r="U21" s="3"/>
      <c r="V21" s="3"/>
      <c r="W21" s="3"/>
    </row>
    <row r="22" spans="1:23" ht="15.6" x14ac:dyDescent="0.3">
      <c r="A22" s="1910">
        <v>19</v>
      </c>
      <c r="B22" s="1933" t="s">
        <v>1012</v>
      </c>
      <c r="C22" s="1919" t="s">
        <v>462</v>
      </c>
      <c r="D22" s="1924">
        <f>D16+D17+D20+D21</f>
        <v>53238152.339999996</v>
      </c>
      <c r="E22" s="1924">
        <f t="shared" ref="E22:W22" si="4">E16+E17+E20+E21</f>
        <v>77957457.439999998</v>
      </c>
      <c r="F22" s="1924">
        <f t="shared" si="4"/>
        <v>90699943.680000007</v>
      </c>
      <c r="G22" s="1924">
        <f t="shared" si="4"/>
        <v>95886070.379999995</v>
      </c>
      <c r="H22" s="1924">
        <f t="shared" si="4"/>
        <v>0</v>
      </c>
      <c r="I22" s="1924">
        <f t="shared" si="4"/>
        <v>0</v>
      </c>
      <c r="J22" s="1924">
        <f t="shared" si="4"/>
        <v>0</v>
      </c>
      <c r="K22" s="1924">
        <f t="shared" si="4"/>
        <v>0</v>
      </c>
      <c r="L22" s="1924">
        <f t="shared" si="4"/>
        <v>0</v>
      </c>
      <c r="M22" s="1924">
        <f t="shared" si="4"/>
        <v>0</v>
      </c>
      <c r="N22" s="1924">
        <f t="shared" si="4"/>
        <v>0</v>
      </c>
      <c r="O22" s="1924">
        <f t="shared" si="4"/>
        <v>0</v>
      </c>
      <c r="P22" s="1924">
        <f t="shared" si="4"/>
        <v>0</v>
      </c>
      <c r="Q22" s="1924">
        <f t="shared" si="4"/>
        <v>0</v>
      </c>
      <c r="R22" s="1924">
        <f t="shared" si="4"/>
        <v>0</v>
      </c>
      <c r="S22" s="1924">
        <f t="shared" si="4"/>
        <v>0</v>
      </c>
      <c r="T22" s="1924">
        <f t="shared" si="4"/>
        <v>0</v>
      </c>
      <c r="U22" s="1924">
        <f t="shared" si="4"/>
        <v>0</v>
      </c>
      <c r="V22" s="1924">
        <f t="shared" si="4"/>
        <v>0</v>
      </c>
      <c r="W22" s="1924">
        <f t="shared" si="4"/>
        <v>0</v>
      </c>
    </row>
    <row r="23" spans="1:23" ht="15.6" x14ac:dyDescent="0.3">
      <c r="A23" s="1910">
        <v>20</v>
      </c>
      <c r="B23" s="1934" t="s">
        <v>1013</v>
      </c>
      <c r="C23" s="1935" t="s">
        <v>463</v>
      </c>
      <c r="D23" s="1936">
        <f>D14-D22</f>
        <v>26036241.229999997</v>
      </c>
      <c r="E23" s="1936">
        <f t="shared" ref="E23:W23" si="5">E14-E22</f>
        <v>6640648.4800000042</v>
      </c>
      <c r="F23" s="1936">
        <f t="shared" si="5"/>
        <v>1162230.0100000203</v>
      </c>
      <c r="G23" s="1936">
        <f t="shared" si="5"/>
        <v>9129595.9599999934</v>
      </c>
      <c r="H23" s="1936">
        <f t="shared" si="5"/>
        <v>0</v>
      </c>
      <c r="I23" s="1936">
        <f t="shared" si="5"/>
        <v>0</v>
      </c>
      <c r="J23" s="1936">
        <f t="shared" si="5"/>
        <v>0</v>
      </c>
      <c r="K23" s="1936">
        <f t="shared" si="5"/>
        <v>0</v>
      </c>
      <c r="L23" s="1936">
        <f t="shared" si="5"/>
        <v>0</v>
      </c>
      <c r="M23" s="1936">
        <f t="shared" si="5"/>
        <v>0</v>
      </c>
      <c r="N23" s="1936">
        <f t="shared" si="5"/>
        <v>0</v>
      </c>
      <c r="O23" s="1936">
        <f t="shared" si="5"/>
        <v>0</v>
      </c>
      <c r="P23" s="1936">
        <f t="shared" si="5"/>
        <v>0</v>
      </c>
      <c r="Q23" s="1936">
        <f t="shared" si="5"/>
        <v>0</v>
      </c>
      <c r="R23" s="1936">
        <f t="shared" si="5"/>
        <v>0</v>
      </c>
      <c r="S23" s="1936">
        <f t="shared" si="5"/>
        <v>0</v>
      </c>
      <c r="T23" s="1936">
        <f t="shared" si="5"/>
        <v>0</v>
      </c>
      <c r="U23" s="1936">
        <f t="shared" si="5"/>
        <v>0</v>
      </c>
      <c r="V23" s="1936">
        <f t="shared" si="5"/>
        <v>0</v>
      </c>
      <c r="W23" s="1936">
        <f t="shared" si="5"/>
        <v>0</v>
      </c>
    </row>
    <row r="24" spans="1:23" ht="15.6" x14ac:dyDescent="0.3">
      <c r="A24" s="1910">
        <v>21</v>
      </c>
      <c r="B24" s="1937"/>
      <c r="C24" s="1912" t="s">
        <v>464</v>
      </c>
      <c r="D24" s="1913">
        <v>26036241.23</v>
      </c>
      <c r="E24" s="1913">
        <v>6640648.4900000002</v>
      </c>
      <c r="F24" s="1913">
        <v>1162230</v>
      </c>
      <c r="G24" s="1913">
        <v>9129595.9600000009</v>
      </c>
      <c r="H24" s="3"/>
      <c r="I24" s="3"/>
      <c r="J24" s="3"/>
      <c r="K24" s="3"/>
      <c r="L24" s="3"/>
      <c r="M24" s="3"/>
      <c r="N24" s="3"/>
      <c r="O24" s="3"/>
      <c r="P24" s="3"/>
      <c r="Q24" s="3"/>
      <c r="R24" s="3"/>
      <c r="S24" s="3"/>
      <c r="T24" s="3"/>
      <c r="U24" s="3"/>
      <c r="V24" s="3"/>
      <c r="W24" s="3"/>
    </row>
    <row r="25" spans="1:23" ht="15.6" x14ac:dyDescent="0.3">
      <c r="A25" s="1910">
        <v>22</v>
      </c>
      <c r="B25" s="1911">
        <v>1731</v>
      </c>
      <c r="C25" s="1912" t="s">
        <v>465</v>
      </c>
      <c r="D25" s="1913">
        <v>77994752.280000001</v>
      </c>
      <c r="E25" s="1938">
        <v>55654220.82</v>
      </c>
      <c r="F25" s="1913">
        <v>61219642.899999999</v>
      </c>
      <c r="G25" s="1913">
        <v>67341607.189999998</v>
      </c>
      <c r="H25" s="3"/>
      <c r="I25" s="3"/>
      <c r="J25" s="3"/>
      <c r="K25" s="3"/>
      <c r="L25" s="3"/>
      <c r="M25" s="3"/>
      <c r="N25" s="3"/>
      <c r="O25" s="3"/>
      <c r="P25" s="3"/>
      <c r="Q25" s="3"/>
      <c r="R25" s="3"/>
      <c r="S25" s="3"/>
      <c r="T25" s="3"/>
      <c r="U25" s="3"/>
      <c r="V25" s="3"/>
      <c r="W25" s="3"/>
    </row>
    <row r="26" spans="1:23" ht="15.6" x14ac:dyDescent="0.3">
      <c r="A26" s="1910">
        <v>23</v>
      </c>
      <c r="B26" s="1911">
        <v>1733</v>
      </c>
      <c r="C26" s="1912" t="s">
        <v>466</v>
      </c>
      <c r="D26" s="1913">
        <v>500000</v>
      </c>
      <c r="E26" s="1922">
        <v>0</v>
      </c>
      <c r="F26" s="1922">
        <v>0</v>
      </c>
      <c r="G26" s="1922">
        <v>0</v>
      </c>
      <c r="H26" s="3"/>
      <c r="I26" s="3"/>
      <c r="J26" s="3"/>
      <c r="K26" s="3"/>
      <c r="L26" s="3"/>
      <c r="M26" s="3"/>
      <c r="N26" s="3"/>
      <c r="O26" s="3"/>
      <c r="P26" s="3"/>
      <c r="Q26" s="3"/>
      <c r="R26" s="3"/>
      <c r="S26" s="3"/>
      <c r="T26" s="3"/>
      <c r="U26" s="3"/>
      <c r="V26" s="3"/>
      <c r="W26" s="3"/>
    </row>
    <row r="27" spans="1:23" ht="15.6" x14ac:dyDescent="0.3">
      <c r="A27" s="1910">
        <v>24</v>
      </c>
      <c r="B27" s="1911" t="s">
        <v>467</v>
      </c>
      <c r="C27" s="1912" t="s">
        <v>468</v>
      </c>
      <c r="D27" s="1913">
        <v>98314.91</v>
      </c>
      <c r="E27" s="1913">
        <v>10999.25</v>
      </c>
      <c r="F27" s="1913">
        <v>11292.78</v>
      </c>
      <c r="G27" s="1913">
        <v>11595.85</v>
      </c>
      <c r="H27" s="3"/>
      <c r="I27" s="3"/>
      <c r="J27" s="3"/>
      <c r="K27" s="3"/>
      <c r="L27" s="3"/>
      <c r="M27" s="3"/>
      <c r="N27" s="3"/>
      <c r="O27" s="3"/>
      <c r="P27" s="3"/>
      <c r="Q27" s="3"/>
      <c r="R27" s="3"/>
      <c r="S27" s="3"/>
      <c r="T27" s="3"/>
      <c r="U27" s="3"/>
      <c r="V27" s="3"/>
      <c r="W27" s="3"/>
    </row>
    <row r="28" spans="1:23" ht="15.6" x14ac:dyDescent="0.3">
      <c r="A28" s="1910">
        <v>25</v>
      </c>
      <c r="B28" s="1933" t="s">
        <v>1014</v>
      </c>
      <c r="C28" s="1919" t="s">
        <v>469</v>
      </c>
      <c r="D28" s="1924">
        <f>D24+D25+D26+D27</f>
        <v>104629308.42</v>
      </c>
      <c r="E28" s="1924">
        <f t="shared" ref="E28:W28" si="6">E24+E25+E26+E27</f>
        <v>62305868.560000002</v>
      </c>
      <c r="F28" s="1924">
        <f t="shared" si="6"/>
        <v>62393165.68</v>
      </c>
      <c r="G28" s="1924">
        <f t="shared" si="6"/>
        <v>76482799</v>
      </c>
      <c r="H28" s="1924">
        <f t="shared" si="6"/>
        <v>0</v>
      </c>
      <c r="I28" s="1924">
        <f t="shared" si="6"/>
        <v>0</v>
      </c>
      <c r="J28" s="1924">
        <f t="shared" si="6"/>
        <v>0</v>
      </c>
      <c r="K28" s="1924">
        <f t="shared" si="6"/>
        <v>0</v>
      </c>
      <c r="L28" s="1924">
        <f t="shared" si="6"/>
        <v>0</v>
      </c>
      <c r="M28" s="1924">
        <f t="shared" si="6"/>
        <v>0</v>
      </c>
      <c r="N28" s="1924">
        <f t="shared" si="6"/>
        <v>0</v>
      </c>
      <c r="O28" s="1924">
        <f t="shared" si="6"/>
        <v>0</v>
      </c>
      <c r="P28" s="1924">
        <f t="shared" si="6"/>
        <v>0</v>
      </c>
      <c r="Q28" s="1924">
        <f t="shared" si="6"/>
        <v>0</v>
      </c>
      <c r="R28" s="1924">
        <f t="shared" si="6"/>
        <v>0</v>
      </c>
      <c r="S28" s="1924">
        <f t="shared" si="6"/>
        <v>0</v>
      </c>
      <c r="T28" s="1924">
        <f t="shared" si="6"/>
        <v>0</v>
      </c>
      <c r="U28" s="1924">
        <f t="shared" si="6"/>
        <v>0</v>
      </c>
      <c r="V28" s="1924">
        <f t="shared" si="6"/>
        <v>0</v>
      </c>
      <c r="W28" s="1924">
        <f t="shared" si="6"/>
        <v>0</v>
      </c>
    </row>
    <row r="29" spans="1:23" ht="15.6" x14ac:dyDescent="0.3">
      <c r="A29" s="1910">
        <v>26</v>
      </c>
      <c r="B29" s="1911"/>
      <c r="C29" s="1912" t="s">
        <v>1015</v>
      </c>
      <c r="D29" s="1939">
        <v>57194318</v>
      </c>
      <c r="E29" s="1913">
        <v>72365702</v>
      </c>
      <c r="F29" s="1913">
        <v>94217124.379999995</v>
      </c>
      <c r="G29" s="1913">
        <v>100999400.25</v>
      </c>
      <c r="H29" s="3"/>
      <c r="I29" s="3"/>
      <c r="J29" s="3"/>
      <c r="K29" s="3"/>
      <c r="L29" s="3"/>
      <c r="M29" s="3"/>
      <c r="N29" s="3"/>
      <c r="O29" s="3"/>
      <c r="P29" s="3"/>
      <c r="Q29" s="3"/>
      <c r="R29" s="3"/>
      <c r="S29" s="3"/>
      <c r="T29" s="3"/>
      <c r="U29" s="3"/>
      <c r="V29" s="3"/>
      <c r="W29" s="3"/>
    </row>
    <row r="30" spans="1:23" ht="15.6" x14ac:dyDescent="0.3">
      <c r="A30" s="1910">
        <v>27</v>
      </c>
      <c r="B30" s="1911"/>
      <c r="C30" s="1912" t="s">
        <v>1016</v>
      </c>
      <c r="D30" s="1913">
        <v>24000000</v>
      </c>
      <c r="E30" s="1913">
        <v>30000000</v>
      </c>
      <c r="F30" s="1913">
        <v>40000000</v>
      </c>
      <c r="G30" s="1913">
        <v>50000000</v>
      </c>
      <c r="H30" s="3"/>
      <c r="I30" s="3"/>
      <c r="J30" s="3"/>
      <c r="K30" s="3"/>
      <c r="L30" s="3"/>
      <c r="M30" s="3"/>
      <c r="N30" s="3"/>
      <c r="O30" s="3"/>
      <c r="P30" s="3"/>
      <c r="Q30" s="3"/>
      <c r="R30" s="3"/>
      <c r="S30" s="3"/>
      <c r="T30" s="3"/>
      <c r="U30" s="3"/>
      <c r="V30" s="3"/>
      <c r="W30" s="3"/>
    </row>
    <row r="31" spans="1:23" ht="15.6" x14ac:dyDescent="0.3">
      <c r="A31" s="1910">
        <v>28</v>
      </c>
      <c r="B31" s="1911"/>
      <c r="C31" s="1912" t="s">
        <v>1017</v>
      </c>
      <c r="D31" s="1913">
        <v>24000000</v>
      </c>
      <c r="E31" s="1913">
        <v>30000000</v>
      </c>
      <c r="F31" s="1913">
        <v>40000000</v>
      </c>
      <c r="G31" s="1913">
        <v>50000000</v>
      </c>
      <c r="H31" s="3"/>
      <c r="I31" s="3"/>
      <c r="J31" s="3"/>
      <c r="K31" s="3"/>
      <c r="L31" s="3"/>
      <c r="M31" s="3"/>
      <c r="N31" s="3"/>
      <c r="O31" s="3"/>
      <c r="P31" s="3"/>
      <c r="Q31" s="3"/>
      <c r="R31" s="3"/>
      <c r="S31" s="3"/>
      <c r="T31" s="3"/>
      <c r="U31" s="3"/>
      <c r="V31" s="3"/>
      <c r="W31" s="3"/>
    </row>
    <row r="32" spans="1:23" ht="15.6" x14ac:dyDescent="0.3">
      <c r="A32" s="1910">
        <v>29</v>
      </c>
      <c r="B32" s="1911"/>
      <c r="C32" s="1940" t="s">
        <v>565</v>
      </c>
      <c r="D32" s="1939">
        <v>43573200.539999999</v>
      </c>
      <c r="E32" s="1939">
        <v>41900732.829999998</v>
      </c>
      <c r="F32" s="1941">
        <v>0</v>
      </c>
      <c r="G32" s="1941">
        <v>0</v>
      </c>
      <c r="H32" s="3"/>
      <c r="I32" s="3"/>
      <c r="J32" s="3"/>
      <c r="K32" s="3"/>
      <c r="L32" s="3"/>
      <c r="M32" s="3"/>
      <c r="N32" s="3"/>
      <c r="O32" s="3"/>
      <c r="P32" s="3"/>
      <c r="Q32" s="3"/>
      <c r="R32" s="3"/>
      <c r="S32" s="3"/>
      <c r="T32" s="3"/>
      <c r="U32" s="3"/>
      <c r="V32" s="3"/>
      <c r="W32" s="3"/>
    </row>
    <row r="33" spans="1:24" ht="15.6" x14ac:dyDescent="0.3">
      <c r="A33" s="1910">
        <v>30</v>
      </c>
      <c r="B33" s="563" t="s">
        <v>564</v>
      </c>
      <c r="C33" s="1940" t="s">
        <v>988</v>
      </c>
      <c r="D33" s="1942">
        <f>D29+D30+D31+D32</f>
        <v>148767518.53999999</v>
      </c>
      <c r="E33" s="1942">
        <f t="shared" ref="E33:X33" si="7">E29+E30+E31+E32</f>
        <v>174266434.82999998</v>
      </c>
      <c r="F33" s="1942">
        <f t="shared" si="7"/>
        <v>174217124.38</v>
      </c>
      <c r="G33" s="1942">
        <f t="shared" si="7"/>
        <v>200999400.25</v>
      </c>
      <c r="H33" s="1942">
        <f t="shared" si="7"/>
        <v>0</v>
      </c>
      <c r="I33" s="1942">
        <f t="shared" si="7"/>
        <v>0</v>
      </c>
      <c r="J33" s="1942">
        <f t="shared" si="7"/>
        <v>0</v>
      </c>
      <c r="K33" s="1942">
        <f t="shared" si="7"/>
        <v>0</v>
      </c>
      <c r="L33" s="1942">
        <f t="shared" si="7"/>
        <v>0</v>
      </c>
      <c r="M33" s="1942">
        <f t="shared" si="7"/>
        <v>0</v>
      </c>
      <c r="N33" s="1942">
        <f t="shared" si="7"/>
        <v>0</v>
      </c>
      <c r="O33" s="1942">
        <f t="shared" si="7"/>
        <v>0</v>
      </c>
      <c r="P33" s="1942">
        <f t="shared" si="7"/>
        <v>0</v>
      </c>
      <c r="Q33" s="1942">
        <f t="shared" si="7"/>
        <v>0</v>
      </c>
      <c r="R33" s="1942">
        <f t="shared" si="7"/>
        <v>0</v>
      </c>
      <c r="S33" s="1942">
        <f t="shared" si="7"/>
        <v>0</v>
      </c>
      <c r="T33" s="1942">
        <f t="shared" si="7"/>
        <v>0</v>
      </c>
      <c r="U33" s="1942">
        <f t="shared" si="7"/>
        <v>0</v>
      </c>
      <c r="V33" s="1942">
        <f t="shared" si="7"/>
        <v>0</v>
      </c>
      <c r="W33" s="1942">
        <f t="shared" si="7"/>
        <v>0</v>
      </c>
      <c r="X33" s="1942">
        <f t="shared" si="7"/>
        <v>0</v>
      </c>
    </row>
    <row r="34" spans="1:24" ht="28.2" x14ac:dyDescent="0.3">
      <c r="A34" s="1910">
        <v>31</v>
      </c>
      <c r="B34" s="563" t="s">
        <v>1018</v>
      </c>
      <c r="C34" s="1940" t="s">
        <v>1019</v>
      </c>
      <c r="D34" s="1942">
        <v>80629308.420000002</v>
      </c>
      <c r="E34" s="1942">
        <v>32305868.559999999</v>
      </c>
      <c r="F34" s="1942">
        <v>22393165.68</v>
      </c>
      <c r="G34" s="1942">
        <v>26482799</v>
      </c>
      <c r="H34" s="3"/>
      <c r="I34" s="3"/>
      <c r="J34" s="3"/>
      <c r="K34" s="3"/>
      <c r="L34" s="3"/>
      <c r="M34" s="3"/>
      <c r="N34" s="3"/>
      <c r="O34" s="3"/>
      <c r="P34" s="3"/>
      <c r="Q34" s="3"/>
      <c r="R34" s="3"/>
      <c r="S34" s="3"/>
      <c r="T34" s="3"/>
      <c r="U34" s="3"/>
      <c r="V34" s="3"/>
      <c r="W34" s="3"/>
    </row>
    <row r="35" spans="1:24" ht="15.6" x14ac:dyDescent="0.3">
      <c r="A35" s="1910">
        <v>32</v>
      </c>
      <c r="B35" s="563">
        <v>6400</v>
      </c>
      <c r="C35" s="1943" t="s">
        <v>1020</v>
      </c>
      <c r="D35" s="1942">
        <v>24830462.059999999</v>
      </c>
      <c r="E35" s="1942">
        <v>18856976.559999999</v>
      </c>
      <c r="F35" s="1942">
        <v>6254495.2800000003</v>
      </c>
      <c r="G35" s="1942">
        <v>7116394.5199999996</v>
      </c>
      <c r="H35" s="3"/>
      <c r="I35" s="3"/>
      <c r="J35" s="3"/>
      <c r="K35" s="3"/>
      <c r="L35" s="3"/>
      <c r="M35" s="3"/>
      <c r="N35" s="3"/>
      <c r="O35" s="3"/>
      <c r="P35" s="3"/>
      <c r="Q35" s="3"/>
      <c r="R35" s="3"/>
      <c r="S35" s="3"/>
      <c r="T35" s="3"/>
      <c r="U35" s="3"/>
      <c r="V35" s="3"/>
      <c r="W35" s="3"/>
    </row>
    <row r="36" spans="1:24" ht="15.6" x14ac:dyDescent="0.3">
      <c r="A36" s="1910">
        <v>33</v>
      </c>
      <c r="B36" s="563" t="s">
        <v>1021</v>
      </c>
      <c r="C36" s="1940" t="s">
        <v>1022</v>
      </c>
      <c r="D36" s="1939">
        <f>D34-D35</f>
        <v>55798846.359999999</v>
      </c>
      <c r="E36" s="1939">
        <f t="shared" ref="E36:G36" si="8">E34-E35</f>
        <v>13448892</v>
      </c>
      <c r="F36" s="1939">
        <f t="shared" si="8"/>
        <v>16138670.399999999</v>
      </c>
      <c r="G36" s="1939">
        <f t="shared" si="8"/>
        <v>19366404.48</v>
      </c>
      <c r="H36" s="1917"/>
      <c r="I36" s="1917"/>
      <c r="J36" s="1917"/>
      <c r="K36" s="1917"/>
      <c r="L36" s="3"/>
      <c r="M36" s="3"/>
      <c r="N36" s="3"/>
      <c r="O36" s="3"/>
      <c r="P36" s="3"/>
      <c r="Q36" s="3"/>
      <c r="R36" s="3"/>
      <c r="S36" s="3"/>
      <c r="T36" s="3"/>
      <c r="U36" s="3"/>
      <c r="V36" s="3"/>
      <c r="W36" s="3"/>
    </row>
    <row r="37" spans="1:24" ht="15.6" x14ac:dyDescent="0.3">
      <c r="A37" s="1910">
        <v>34</v>
      </c>
      <c r="B37" s="1944" t="s">
        <v>161</v>
      </c>
      <c r="C37" s="1945" t="s">
        <v>613</v>
      </c>
      <c r="D37" s="1946"/>
      <c r="E37" s="1946"/>
      <c r="F37" s="1946"/>
      <c r="G37" s="1946"/>
      <c r="H37" s="3"/>
      <c r="I37" s="3"/>
      <c r="J37" s="3"/>
      <c r="K37" s="3"/>
      <c r="L37" s="3"/>
      <c r="M37" s="3"/>
      <c r="N37" s="3"/>
      <c r="O37" s="3"/>
      <c r="P37" s="3"/>
      <c r="Q37" s="3"/>
      <c r="R37" s="3"/>
      <c r="S37" s="3"/>
      <c r="T37" s="3"/>
      <c r="U37" s="3"/>
      <c r="V37" s="3"/>
      <c r="W37" s="3"/>
    </row>
    <row r="38" spans="1:24" ht="15.6" x14ac:dyDescent="0.3">
      <c r="A38" s="1910">
        <v>35</v>
      </c>
      <c r="B38" s="1911"/>
      <c r="C38" s="1947" t="s">
        <v>470</v>
      </c>
      <c r="D38" s="1913">
        <v>174466948</v>
      </c>
      <c r="E38" s="1913">
        <v>206700000</v>
      </c>
      <c r="F38" s="1913">
        <v>212645136.19999999</v>
      </c>
      <c r="G38" s="1913">
        <v>266733760</v>
      </c>
      <c r="H38" s="3"/>
      <c r="I38" s="3"/>
      <c r="J38" s="3"/>
      <c r="K38" s="3"/>
      <c r="L38" s="3"/>
      <c r="M38" s="3"/>
      <c r="N38" s="3"/>
      <c r="O38" s="3"/>
      <c r="P38" s="3"/>
      <c r="Q38" s="3"/>
      <c r="R38" s="3"/>
      <c r="S38" s="3"/>
      <c r="T38" s="3"/>
      <c r="U38" s="3"/>
      <c r="V38" s="3"/>
      <c r="W38" s="3"/>
    </row>
    <row r="39" spans="1:24" ht="15.6" x14ac:dyDescent="0.3">
      <c r="A39" s="1910">
        <v>36</v>
      </c>
      <c r="B39" s="1911"/>
      <c r="C39" s="1912" t="s">
        <v>471</v>
      </c>
      <c r="D39" s="1913">
        <v>51601248</v>
      </c>
      <c r="E39" s="1913">
        <v>54960406</v>
      </c>
      <c r="F39" s="1913">
        <v>75181310.400000006</v>
      </c>
      <c r="G39" s="1913">
        <v>78657975.920000002</v>
      </c>
      <c r="H39" s="3"/>
      <c r="I39" s="3"/>
      <c r="J39" s="3"/>
      <c r="K39" s="3"/>
      <c r="L39" s="3"/>
      <c r="M39" s="3"/>
      <c r="N39" s="3"/>
      <c r="O39" s="3"/>
      <c r="P39" s="3"/>
      <c r="Q39" s="3"/>
      <c r="R39" s="3"/>
      <c r="S39" s="3"/>
      <c r="T39" s="3"/>
      <c r="U39" s="3"/>
      <c r="V39" s="3"/>
      <c r="W39" s="3"/>
    </row>
    <row r="40" spans="1:24" ht="15.6" x14ac:dyDescent="0.3">
      <c r="A40" s="1910">
        <v>37</v>
      </c>
      <c r="B40" s="1911"/>
      <c r="C40" s="1912" t="s">
        <v>989</v>
      </c>
      <c r="D40" s="1913">
        <v>302055</v>
      </c>
      <c r="E40" s="1922">
        <v>0</v>
      </c>
      <c r="F40" s="1922">
        <v>0</v>
      </c>
      <c r="G40" s="1948">
        <v>0</v>
      </c>
      <c r="H40" s="3"/>
      <c r="I40" s="3"/>
      <c r="J40" s="3"/>
      <c r="K40" s="3"/>
      <c r="L40" s="3"/>
      <c r="M40" s="3"/>
      <c r="N40" s="3"/>
      <c r="O40" s="3"/>
      <c r="P40" s="3"/>
      <c r="Q40" s="3"/>
      <c r="R40" s="3"/>
      <c r="S40" s="3"/>
      <c r="T40" s="3"/>
      <c r="U40" s="3"/>
      <c r="V40" s="3"/>
      <c r="W40" s="3"/>
    </row>
    <row r="41" spans="1:24" ht="15.6" x14ac:dyDescent="0.3">
      <c r="A41" s="1910">
        <v>38</v>
      </c>
      <c r="B41" s="1923" t="s">
        <v>990</v>
      </c>
      <c r="C41" s="1949" t="s">
        <v>472</v>
      </c>
      <c r="D41" s="1924">
        <f>D38+D39+D40</f>
        <v>226370251</v>
      </c>
      <c r="E41" s="1924">
        <f t="shared" ref="E41:G41" si="9">E38+E39+E40</f>
        <v>261660406</v>
      </c>
      <c r="F41" s="1924">
        <f t="shared" si="9"/>
        <v>287826446.60000002</v>
      </c>
      <c r="G41" s="1924">
        <f t="shared" si="9"/>
        <v>345391735.92000002</v>
      </c>
      <c r="H41" s="1917"/>
      <c r="I41" s="1917"/>
      <c r="J41" s="1917"/>
      <c r="K41" s="1917"/>
      <c r="L41" s="3"/>
      <c r="M41" s="3"/>
      <c r="N41" s="3"/>
      <c r="O41" s="3"/>
      <c r="P41" s="3"/>
      <c r="Q41" s="3"/>
      <c r="R41" s="3"/>
      <c r="S41" s="3"/>
      <c r="T41" s="3"/>
      <c r="U41" s="3"/>
      <c r="V41" s="3"/>
      <c r="W41" s="3"/>
    </row>
    <row r="42" spans="1:24" x14ac:dyDescent="0.3">
      <c r="A42" s="1950">
        <v>39</v>
      </c>
      <c r="B42" s="1951"/>
      <c r="C42" s="1951" t="s">
        <v>614</v>
      </c>
      <c r="D42" s="1952"/>
      <c r="E42" s="1952"/>
      <c r="F42" s="1952"/>
      <c r="G42" s="1952"/>
      <c r="H42" s="3"/>
      <c r="I42" s="3"/>
      <c r="J42" s="3"/>
      <c r="K42" s="3"/>
      <c r="L42" s="3"/>
      <c r="M42" s="3"/>
      <c r="N42" s="3"/>
      <c r="O42" s="3"/>
      <c r="P42" s="3"/>
      <c r="Q42" s="3"/>
      <c r="R42" s="3"/>
      <c r="S42" s="3"/>
      <c r="T42" s="3"/>
      <c r="U42" s="3"/>
      <c r="V42" s="3"/>
      <c r="W42" s="3"/>
    </row>
    <row r="43" spans="1:24" ht="15.6" x14ac:dyDescent="0.3">
      <c r="A43" s="1910">
        <v>40</v>
      </c>
      <c r="B43" s="1953" t="s">
        <v>1023</v>
      </c>
      <c r="C43" s="1954" t="s">
        <v>1024</v>
      </c>
      <c r="D43" s="1955">
        <v>167000000</v>
      </c>
      <c r="E43" s="1955">
        <v>189525411.5</v>
      </c>
      <c r="F43" s="1955">
        <v>207377952.65000001</v>
      </c>
      <c r="G43" s="1955">
        <v>233516328.19</v>
      </c>
      <c r="H43" s="3"/>
      <c r="I43" s="3"/>
      <c r="J43" s="3"/>
      <c r="K43" s="3"/>
      <c r="L43" s="3"/>
      <c r="M43" s="3"/>
      <c r="N43" s="3"/>
      <c r="O43" s="3"/>
      <c r="P43" s="3"/>
      <c r="Q43" s="3"/>
      <c r="R43" s="3"/>
      <c r="S43" s="3"/>
      <c r="T43" s="3"/>
      <c r="U43" s="3"/>
      <c r="V43" s="3"/>
      <c r="W43" s="3"/>
    </row>
    <row r="44" spans="1:24" x14ac:dyDescent="0.3">
      <c r="A44" s="1956">
        <v>41</v>
      </c>
      <c r="B44" s="1957" t="s">
        <v>1025</v>
      </c>
      <c r="C44" s="1958" t="s">
        <v>457</v>
      </c>
      <c r="D44" s="1959">
        <f>D45</f>
        <v>42282516.519999996</v>
      </c>
      <c r="E44" s="1959">
        <f t="shared" ref="E44:G44" si="10">E45</f>
        <v>48673195.25</v>
      </c>
      <c r="F44" s="1959">
        <f t="shared" si="10"/>
        <v>56135427.280000001</v>
      </c>
      <c r="G44" s="1960">
        <f t="shared" si="10"/>
        <v>75476407.729999989</v>
      </c>
      <c r="H44" s="1961"/>
      <c r="I44" s="1961"/>
      <c r="J44" s="1961"/>
      <c r="K44" s="1961"/>
      <c r="L44" s="1961"/>
      <c r="M44" s="1961"/>
      <c r="N44" s="1961"/>
      <c r="O44" s="1961"/>
      <c r="P44" s="1961"/>
      <c r="Q44" s="1961"/>
      <c r="R44" s="1961"/>
      <c r="S44" s="1961"/>
      <c r="T44" s="1961"/>
      <c r="U44" s="1961"/>
      <c r="V44" s="1961"/>
      <c r="W44" s="1961"/>
    </row>
    <row r="45" spans="1:24" x14ac:dyDescent="0.3">
      <c r="A45" s="1962">
        <v>42</v>
      </c>
      <c r="B45" s="1963">
        <v>6240</v>
      </c>
      <c r="C45" s="1964" t="s">
        <v>1026</v>
      </c>
      <c r="D45" s="1965">
        <f>D46+D47+D48</f>
        <v>42282516.519999996</v>
      </c>
      <c r="E45" s="1965">
        <f t="shared" ref="E45:G45" si="11">E46+E47+E48</f>
        <v>48673195.25</v>
      </c>
      <c r="F45" s="1965">
        <f t="shared" si="11"/>
        <v>56135427.280000001</v>
      </c>
      <c r="G45" s="1965">
        <f t="shared" si="11"/>
        <v>75476407.729999989</v>
      </c>
      <c r="H45" s="1917"/>
      <c r="I45" s="1917"/>
      <c r="J45" s="1917"/>
      <c r="K45" s="1917"/>
      <c r="L45" s="3"/>
      <c r="M45" s="3"/>
      <c r="N45" s="3"/>
      <c r="O45" s="3"/>
      <c r="P45" s="3"/>
      <c r="Q45" s="3"/>
      <c r="R45" s="3"/>
      <c r="S45" s="3"/>
      <c r="T45" s="3"/>
      <c r="U45" s="3"/>
      <c r="V45" s="3"/>
      <c r="W45" s="3"/>
    </row>
    <row r="46" spans="1:24" ht="15.6" x14ac:dyDescent="0.3">
      <c r="A46" s="1910">
        <v>43</v>
      </c>
      <c r="B46" s="1966">
        <v>6241</v>
      </c>
      <c r="C46" s="1967" t="s">
        <v>1027</v>
      </c>
      <c r="D46" s="1968">
        <v>8465604.0299999993</v>
      </c>
      <c r="E46" s="1968">
        <v>9312164.4299999997</v>
      </c>
      <c r="F46" s="1968">
        <v>10243380.880000001</v>
      </c>
      <c r="G46" s="1968">
        <v>12292057.050000001</v>
      </c>
      <c r="H46" s="3"/>
      <c r="I46" s="3"/>
      <c r="J46" s="3"/>
      <c r="K46" s="3"/>
      <c r="L46" s="3"/>
      <c r="M46" s="3"/>
      <c r="N46" s="3"/>
      <c r="O46" s="3"/>
      <c r="P46" s="3"/>
      <c r="Q46" s="3"/>
      <c r="R46" s="3"/>
      <c r="S46" s="3"/>
      <c r="T46" s="3"/>
      <c r="U46" s="3"/>
      <c r="V46" s="3"/>
      <c r="W46" s="3"/>
    </row>
    <row r="47" spans="1:24" ht="15.6" x14ac:dyDescent="0.3">
      <c r="A47" s="1910">
        <v>44</v>
      </c>
      <c r="B47" s="1966">
        <v>6243</v>
      </c>
      <c r="C47" s="1967" t="s">
        <v>1028</v>
      </c>
      <c r="D47" s="1969">
        <v>12192641.68</v>
      </c>
      <c r="E47" s="1968">
        <v>13411905.85</v>
      </c>
      <c r="F47" s="1968">
        <v>14753096.43</v>
      </c>
      <c r="G47" s="1968">
        <v>22703715.719999999</v>
      </c>
      <c r="H47" s="3"/>
      <c r="I47" s="3"/>
      <c r="J47" s="3"/>
      <c r="K47" s="3"/>
      <c r="L47" s="3"/>
      <c r="M47" s="3"/>
      <c r="N47" s="3"/>
      <c r="O47" s="3"/>
      <c r="P47" s="3"/>
      <c r="Q47" s="3"/>
      <c r="R47" s="3"/>
      <c r="S47" s="3"/>
      <c r="T47" s="3"/>
      <c r="U47" s="3"/>
      <c r="V47" s="3"/>
      <c r="W47" s="3"/>
    </row>
    <row r="48" spans="1:24" ht="15.6" x14ac:dyDescent="0.3">
      <c r="A48" s="1910">
        <v>45</v>
      </c>
      <c r="B48" s="1966">
        <v>6244</v>
      </c>
      <c r="C48" s="1967" t="s">
        <v>1029</v>
      </c>
      <c r="D48" s="1969">
        <v>21624270.809999999</v>
      </c>
      <c r="E48" s="1968">
        <v>25949124.969999999</v>
      </c>
      <c r="F48" s="1968">
        <v>31138949.969999999</v>
      </c>
      <c r="G48" s="1968">
        <v>40480634.960000001</v>
      </c>
      <c r="H48" s="3"/>
      <c r="I48" s="3"/>
      <c r="J48" s="3"/>
      <c r="K48" s="3"/>
      <c r="L48" s="3"/>
      <c r="M48" s="3"/>
      <c r="N48" s="3"/>
      <c r="O48" s="3"/>
      <c r="P48" s="3"/>
      <c r="Q48" s="3"/>
      <c r="R48" s="3"/>
      <c r="S48" s="3"/>
      <c r="T48" s="3"/>
      <c r="U48" s="3"/>
      <c r="V48" s="3"/>
      <c r="W48" s="3"/>
    </row>
    <row r="49" spans="1:23" ht="15.6" x14ac:dyDescent="0.3">
      <c r="A49" s="1910">
        <v>46</v>
      </c>
      <c r="B49" s="1966">
        <v>6300</v>
      </c>
      <c r="C49" s="1967" t="s">
        <v>461</v>
      </c>
      <c r="D49" s="1969">
        <v>950000</v>
      </c>
      <c r="E49" s="1968">
        <v>9376799.25</v>
      </c>
      <c r="F49" s="1968">
        <v>7411066.6699999999</v>
      </c>
      <c r="G49" s="1968">
        <v>11116600.01</v>
      </c>
      <c r="H49" s="3"/>
      <c r="I49" s="3"/>
      <c r="J49" s="3"/>
      <c r="K49" s="3"/>
      <c r="L49" s="3"/>
      <c r="M49" s="3"/>
      <c r="N49" s="3"/>
      <c r="O49" s="3"/>
      <c r="P49" s="3"/>
      <c r="Q49" s="3"/>
      <c r="R49" s="3"/>
      <c r="S49" s="3"/>
      <c r="T49" s="3"/>
      <c r="U49" s="3"/>
      <c r="V49" s="3"/>
      <c r="W49" s="3"/>
    </row>
    <row r="50" spans="1:23" ht="15.6" x14ac:dyDescent="0.3">
      <c r="A50" s="1910">
        <v>47</v>
      </c>
      <c r="B50" s="1966">
        <v>6400</v>
      </c>
      <c r="C50" s="1967" t="s">
        <v>1030</v>
      </c>
      <c r="D50" s="1969">
        <v>750000</v>
      </c>
      <c r="E50" s="1948">
        <v>0</v>
      </c>
      <c r="F50" s="1970">
        <v>0</v>
      </c>
      <c r="G50" s="1968">
        <v>5000000</v>
      </c>
      <c r="H50" s="3"/>
      <c r="I50" s="3"/>
      <c r="J50" s="3"/>
      <c r="K50" s="3"/>
      <c r="L50" s="3"/>
      <c r="M50" s="3"/>
      <c r="N50" s="3"/>
      <c r="O50" s="3"/>
      <c r="P50" s="3"/>
      <c r="Q50" s="3"/>
      <c r="R50" s="3"/>
      <c r="S50" s="3"/>
      <c r="T50" s="3"/>
      <c r="U50" s="3"/>
      <c r="V50" s="3"/>
      <c r="W50" s="3"/>
    </row>
    <row r="51" spans="1:23" x14ac:dyDescent="0.3">
      <c r="A51" s="1971">
        <v>48</v>
      </c>
      <c r="B51" s="1972" t="s">
        <v>1031</v>
      </c>
      <c r="C51" s="1973" t="s">
        <v>1032</v>
      </c>
      <c r="D51" s="1974">
        <f>D43+D45+D49+D50</f>
        <v>210982516.51999998</v>
      </c>
      <c r="E51" s="1974">
        <f t="shared" ref="E51:G51" si="12">E43+E45+E49+E50</f>
        <v>247575406</v>
      </c>
      <c r="F51" s="1974">
        <f t="shared" si="12"/>
        <v>270924446.60000002</v>
      </c>
      <c r="G51" s="1974">
        <f t="shared" si="12"/>
        <v>325109335.92999995</v>
      </c>
      <c r="H51" s="1917"/>
      <c r="I51" s="1917"/>
      <c r="J51" s="1917"/>
      <c r="K51" s="1917"/>
      <c r="L51" s="3"/>
      <c r="M51" s="3"/>
      <c r="N51" s="3"/>
      <c r="O51" s="3"/>
      <c r="P51" s="3"/>
      <c r="Q51" s="3"/>
      <c r="R51" s="3"/>
      <c r="S51" s="3"/>
      <c r="T51" s="3"/>
      <c r="U51" s="3"/>
      <c r="V51" s="3"/>
      <c r="W51" s="3"/>
    </row>
    <row r="52" spans="1:23" ht="15.6" x14ac:dyDescent="0.3">
      <c r="A52" s="1910">
        <v>49</v>
      </c>
      <c r="B52" s="1966" t="s">
        <v>1033</v>
      </c>
      <c r="C52" s="1967" t="s">
        <v>1034</v>
      </c>
      <c r="D52" s="1969">
        <f>D41-D51</f>
        <v>15387734.480000019</v>
      </c>
      <c r="E52" s="1969">
        <f t="shared" ref="E52:G52" si="13">E41-E51</f>
        <v>14085000</v>
      </c>
      <c r="F52" s="1969">
        <f t="shared" si="13"/>
        <v>16902000</v>
      </c>
      <c r="G52" s="1969">
        <f t="shared" si="13"/>
        <v>20282399.990000069</v>
      </c>
      <c r="H52" s="1917"/>
      <c r="I52" s="1917"/>
      <c r="J52" s="1917"/>
      <c r="K52" s="1917"/>
      <c r="L52" s="3"/>
      <c r="M52" s="3"/>
      <c r="N52" s="3"/>
      <c r="O52" s="3"/>
      <c r="P52" s="3"/>
      <c r="Q52" s="3"/>
      <c r="R52" s="3"/>
      <c r="S52" s="3"/>
      <c r="T52" s="3"/>
      <c r="U52" s="3"/>
      <c r="V52" s="3"/>
      <c r="W52" s="3"/>
    </row>
    <row r="53" spans="1:23" x14ac:dyDescent="0.3">
      <c r="A53" s="1975">
        <v>50</v>
      </c>
      <c r="B53" s="1976"/>
      <c r="C53" s="1977" t="s">
        <v>1035</v>
      </c>
      <c r="D53" s="1978">
        <v>3200000</v>
      </c>
      <c r="E53" s="1978">
        <v>14085000</v>
      </c>
      <c r="F53" s="1978">
        <v>16902000</v>
      </c>
      <c r="G53" s="1978">
        <v>20282400</v>
      </c>
      <c r="H53" s="3"/>
      <c r="I53" s="3"/>
      <c r="J53" s="3"/>
      <c r="K53" s="3"/>
      <c r="L53" s="3"/>
      <c r="M53" s="3"/>
      <c r="N53" s="3"/>
      <c r="O53" s="3"/>
      <c r="P53" s="3"/>
      <c r="Q53" s="3"/>
      <c r="R53" s="3"/>
      <c r="S53" s="3"/>
      <c r="T53" s="3"/>
      <c r="U53" s="3"/>
      <c r="V53" s="3"/>
      <c r="W53" s="3"/>
    </row>
    <row r="54" spans="1:23" ht="15.6" x14ac:dyDescent="0.3">
      <c r="A54" s="1910">
        <v>51</v>
      </c>
      <c r="B54" s="1966" t="s">
        <v>1036</v>
      </c>
      <c r="C54" s="1967" t="s">
        <v>1037</v>
      </c>
      <c r="D54" s="1969">
        <v>12187734.48</v>
      </c>
      <c r="E54" s="1979" t="s">
        <v>138</v>
      </c>
      <c r="F54" s="1979" t="s">
        <v>138</v>
      </c>
      <c r="G54" s="1979" t="s">
        <v>138</v>
      </c>
      <c r="H54" s="3"/>
      <c r="I54" s="3"/>
      <c r="J54" s="3"/>
      <c r="K54" s="3"/>
      <c r="L54" s="3"/>
      <c r="M54" s="3"/>
      <c r="N54" s="3"/>
      <c r="O54" s="3"/>
      <c r="P54" s="3"/>
      <c r="Q54" s="3"/>
      <c r="R54" s="3"/>
      <c r="S54" s="3"/>
      <c r="T54" s="3"/>
      <c r="U54" s="3"/>
      <c r="V54" s="3"/>
      <c r="W54" s="3"/>
    </row>
    <row r="55" spans="1:23" ht="15.6" x14ac:dyDescent="0.3">
      <c r="A55" s="1910">
        <v>52</v>
      </c>
      <c r="B55" s="1966"/>
      <c r="C55" s="1967" t="s">
        <v>1038</v>
      </c>
      <c r="D55" s="1969"/>
      <c r="E55" s="1979" t="s">
        <v>138</v>
      </c>
      <c r="F55" s="1979" t="s">
        <v>138</v>
      </c>
      <c r="G55" s="1979" t="s">
        <v>138</v>
      </c>
      <c r="H55" s="3"/>
      <c r="I55" s="3"/>
      <c r="J55" s="3"/>
      <c r="K55" s="3"/>
      <c r="L55" s="3"/>
      <c r="M55" s="3"/>
      <c r="N55" s="3"/>
      <c r="O55" s="3"/>
      <c r="P55" s="3"/>
      <c r="Q55" s="3"/>
      <c r="R55" s="3"/>
      <c r="S55" s="3"/>
      <c r="T55" s="3"/>
      <c r="U55" s="3"/>
      <c r="V55" s="3"/>
      <c r="W55" s="3"/>
    </row>
    <row r="56" spans="1:23" ht="15.6" x14ac:dyDescent="0.3">
      <c r="A56" s="1910">
        <v>53</v>
      </c>
      <c r="B56" s="1966"/>
      <c r="C56" s="1967" t="s">
        <v>1039</v>
      </c>
      <c r="D56" s="1980">
        <f>D54</f>
        <v>12187734.48</v>
      </c>
      <c r="E56" s="1981" t="s">
        <v>138</v>
      </c>
      <c r="F56" s="1981" t="s">
        <v>138</v>
      </c>
      <c r="G56" s="1981" t="s">
        <v>138</v>
      </c>
      <c r="H56" s="3"/>
      <c r="I56" s="3"/>
      <c r="J56" s="3"/>
      <c r="K56" s="3"/>
      <c r="L56" s="3"/>
      <c r="M56" s="3"/>
      <c r="N56" s="3"/>
      <c r="O56" s="3"/>
      <c r="P56" s="3"/>
      <c r="Q56" s="3"/>
      <c r="R56" s="3"/>
      <c r="S56" s="3"/>
      <c r="T56" s="3"/>
      <c r="U56" s="3"/>
      <c r="V56" s="3"/>
      <c r="W56" s="3"/>
    </row>
    <row r="57" spans="1:23" x14ac:dyDescent="0.3">
      <c r="A57" s="1982">
        <v>54</v>
      </c>
      <c r="B57" s="1983" t="s">
        <v>1040</v>
      </c>
      <c r="C57" s="1983" t="s">
        <v>473</v>
      </c>
      <c r="D57" s="1984">
        <f>D33+D36+D53</f>
        <v>207766364.89999998</v>
      </c>
      <c r="E57" s="1984">
        <f t="shared" ref="E57:G57" si="14">E33+E36+E53</f>
        <v>201800326.82999998</v>
      </c>
      <c r="F57" s="1984">
        <f t="shared" si="14"/>
        <v>207257794.78</v>
      </c>
      <c r="G57" s="1984">
        <f t="shared" si="14"/>
        <v>240648204.72999999</v>
      </c>
      <c r="H57" s="3"/>
      <c r="I57" s="3"/>
      <c r="J57" s="3"/>
      <c r="K57" s="3"/>
      <c r="L57" s="3"/>
      <c r="M57" s="3"/>
      <c r="N57" s="3"/>
      <c r="O57" s="3"/>
      <c r="P57" s="3"/>
      <c r="Q57" s="3"/>
      <c r="R57" s="3"/>
      <c r="S57" s="3"/>
      <c r="T57" s="3"/>
      <c r="U57" s="3"/>
      <c r="V57" s="3"/>
      <c r="W57" s="3"/>
    </row>
    <row r="58" spans="1:23" x14ac:dyDescent="0.3">
      <c r="D58" s="1"/>
      <c r="E58" s="1"/>
      <c r="F58" s="1"/>
      <c r="G58" s="1"/>
    </row>
  </sheetData>
  <mergeCells count="2">
    <mergeCell ref="B1:C1"/>
    <mergeCell ref="A2:A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70"/>
  <sheetViews>
    <sheetView zoomScaleNormal="100" workbookViewId="0">
      <pane xSplit="7" ySplit="1" topLeftCell="H35" activePane="bottomRight" state="frozenSplit"/>
      <selection pane="topRight" activeCell="E1" sqref="E1"/>
      <selection pane="bottomLeft" activeCell="A5" sqref="A5"/>
      <selection pane="bottomRight" activeCell="I17" sqref="I17"/>
    </sheetView>
  </sheetViews>
  <sheetFormatPr defaultRowHeight="14.4" x14ac:dyDescent="0.3"/>
  <cols>
    <col min="1" max="1" width="5.6640625" customWidth="1"/>
    <col min="2" max="2" width="44.44140625" bestFit="1" customWidth="1"/>
    <col min="3" max="3" width="14.44140625" customWidth="1"/>
    <col min="4" max="5" width="15.5546875" style="166" customWidth="1"/>
    <col min="6" max="6" width="15.109375" style="166" bestFit="1" customWidth="1"/>
    <col min="7" max="7" width="9.88671875" style="502" customWidth="1"/>
    <col min="9" max="9" width="19.33203125" style="166" customWidth="1"/>
    <col min="10" max="11" width="13.6640625" style="166" bestFit="1" customWidth="1"/>
    <col min="12" max="12" width="13.6640625" bestFit="1" customWidth="1"/>
  </cols>
  <sheetData>
    <row r="1" spans="1:12" ht="15.75" customHeight="1" thickBot="1" x14ac:dyDescent="0.35">
      <c r="A1" s="426" t="s">
        <v>99</v>
      </c>
      <c r="B1" s="427" t="s">
        <v>134</v>
      </c>
      <c r="C1" s="428" t="s">
        <v>420</v>
      </c>
      <c r="D1" s="467" t="s">
        <v>155</v>
      </c>
      <c r="E1" s="892" t="s">
        <v>156</v>
      </c>
      <c r="F1" s="1430" t="s">
        <v>421</v>
      </c>
      <c r="G1" s="488" t="s">
        <v>158</v>
      </c>
    </row>
    <row r="2" spans="1:12" ht="15" thickBot="1" x14ac:dyDescent="0.35">
      <c r="A2" s="2020" t="s">
        <v>171</v>
      </c>
      <c r="B2" s="2021"/>
      <c r="C2" s="429"/>
      <c r="D2" s="893"/>
      <c r="E2" s="893"/>
      <c r="F2" s="1431"/>
      <c r="G2" s="489"/>
    </row>
    <row r="3" spans="1:12" ht="16.2" thickBot="1" x14ac:dyDescent="0.35">
      <c r="A3" s="430" t="s">
        <v>1</v>
      </c>
      <c r="B3" s="431" t="s">
        <v>172</v>
      </c>
      <c r="C3" s="463"/>
      <c r="D3" s="894"/>
      <c r="E3" s="894"/>
      <c r="F3" s="1432"/>
      <c r="G3" s="490"/>
    </row>
    <row r="4" spans="1:12" ht="15" thickBot="1" x14ac:dyDescent="0.35">
      <c r="A4" s="432">
        <v>1</v>
      </c>
      <c r="B4" s="433" t="s">
        <v>173</v>
      </c>
      <c r="C4" s="472"/>
      <c r="D4" s="895"/>
      <c r="E4" s="895"/>
      <c r="F4" s="1433"/>
      <c r="G4" s="491"/>
    </row>
    <row r="5" spans="1:12" ht="15" thickBot="1" x14ac:dyDescent="0.35">
      <c r="A5" s="434">
        <v>1.1000000000000001</v>
      </c>
      <c r="B5" s="435" t="s">
        <v>129</v>
      </c>
      <c r="C5" s="473">
        <f>41353543+979146.8</f>
        <v>42332689.799999997</v>
      </c>
      <c r="D5" s="514">
        <f>K7</f>
        <v>28457709.960000005</v>
      </c>
      <c r="E5" s="514">
        <f>59938439.31-5650939.74</f>
        <v>54287499.57</v>
      </c>
      <c r="F5" s="1434">
        <f>C5++D5+E5</f>
        <v>125077899.33000001</v>
      </c>
      <c r="G5" s="486">
        <f>F5/F15</f>
        <v>0.6425805525514926</v>
      </c>
      <c r="I5" s="166">
        <v>45713758.340000004</v>
      </c>
      <c r="J5" s="166">
        <v>18435170.379999999</v>
      </c>
      <c r="K5" s="166">
        <f>I5-J5</f>
        <v>27278587.960000005</v>
      </c>
      <c r="L5" s="4">
        <f>K5+4265883.6</f>
        <v>31544471.560000002</v>
      </c>
    </row>
    <row r="6" spans="1:12" ht="15" thickBot="1" x14ac:dyDescent="0.35">
      <c r="A6" s="436">
        <v>1.2</v>
      </c>
      <c r="B6" s="437" t="s">
        <v>128</v>
      </c>
      <c r="C6" s="473">
        <v>23320019.02</v>
      </c>
      <c r="D6" s="514">
        <v>0</v>
      </c>
      <c r="E6" s="514"/>
      <c r="F6" s="1434">
        <f t="shared" ref="F6:F66" si="0">C6++D6+E6</f>
        <v>23320019.02</v>
      </c>
      <c r="G6" s="486">
        <f>F6/F15</f>
        <v>0.11980526366090605</v>
      </c>
      <c r="K6" s="166">
        <v>1179122</v>
      </c>
    </row>
    <row r="7" spans="1:12" ht="15" thickBot="1" x14ac:dyDescent="0.35">
      <c r="A7" s="434">
        <v>1.3</v>
      </c>
      <c r="B7" s="435" t="s">
        <v>180</v>
      </c>
      <c r="C7" s="515">
        <v>665160</v>
      </c>
      <c r="D7" s="515">
        <v>0</v>
      </c>
      <c r="E7" s="515">
        <v>12373738.4</v>
      </c>
      <c r="F7" s="1434">
        <f t="shared" si="0"/>
        <v>13038898.4</v>
      </c>
      <c r="G7" s="486">
        <f>F7/F15</f>
        <v>6.6986594621558163E-2</v>
      </c>
      <c r="I7" s="166">
        <f>41503268.93+18435170.38</f>
        <v>59938439.310000002</v>
      </c>
      <c r="K7" s="166">
        <f>K5+K6</f>
        <v>28457709.960000005</v>
      </c>
    </row>
    <row r="8" spans="1:12" ht="15" thickBot="1" x14ac:dyDescent="0.35">
      <c r="A8" s="438">
        <v>1.4</v>
      </c>
      <c r="B8" s="439" t="s">
        <v>422</v>
      </c>
      <c r="C8" s="1436">
        <v>0</v>
      </c>
      <c r="D8" s="1436">
        <v>0</v>
      </c>
      <c r="E8" s="1436"/>
      <c r="F8" s="1434">
        <f t="shared" si="0"/>
        <v>0</v>
      </c>
      <c r="G8" s="486">
        <f>F8/F15</f>
        <v>0</v>
      </c>
    </row>
    <row r="9" spans="1:12" s="66" customFormat="1" ht="15" thickBot="1" x14ac:dyDescent="0.35">
      <c r="A9" s="447">
        <v>2</v>
      </c>
      <c r="B9" s="435" t="s">
        <v>431</v>
      </c>
      <c r="C9" s="1437">
        <v>990104</v>
      </c>
      <c r="D9" s="1438">
        <v>1535690.11</v>
      </c>
      <c r="E9" s="1438">
        <f>4321318.39-1440317.23</f>
        <v>2881001.1599999997</v>
      </c>
      <c r="F9" s="1434">
        <f t="shared" si="0"/>
        <v>5406795.2699999996</v>
      </c>
      <c r="G9" s="485">
        <f>F9/F15</f>
        <v>2.7777101396330238E-2</v>
      </c>
      <c r="I9" s="166">
        <f>539035.66+901281.57</f>
        <v>1440317.23</v>
      </c>
      <c r="J9" s="166"/>
      <c r="K9" s="166"/>
    </row>
    <row r="10" spans="1:12" s="66" customFormat="1" ht="15" thickBot="1" x14ac:dyDescent="0.35">
      <c r="A10" s="447">
        <v>3</v>
      </c>
      <c r="B10" s="435" t="s">
        <v>432</v>
      </c>
      <c r="C10" s="1437">
        <v>3137200</v>
      </c>
      <c r="D10" s="1437">
        <v>3234522.2</v>
      </c>
      <c r="E10" s="1437">
        <v>2012101.04</v>
      </c>
      <c r="F10" s="1434">
        <f t="shared" si="0"/>
        <v>8383823.2400000002</v>
      </c>
      <c r="G10" s="485">
        <f>F10/F15</f>
        <v>4.3071412287151369E-2</v>
      </c>
      <c r="I10" s="166"/>
      <c r="J10" s="166"/>
      <c r="K10" s="166"/>
    </row>
    <row r="11" spans="1:12" ht="15" thickBot="1" x14ac:dyDescent="0.35">
      <c r="A11" s="434">
        <v>4</v>
      </c>
      <c r="B11" s="435" t="s">
        <v>423</v>
      </c>
      <c r="C11" s="1437">
        <v>0</v>
      </c>
      <c r="D11" s="1437">
        <v>0</v>
      </c>
      <c r="E11" s="1437"/>
      <c r="F11" s="1434">
        <f t="shared" si="0"/>
        <v>0</v>
      </c>
      <c r="G11" s="486">
        <f>F11/F15</f>
        <v>0</v>
      </c>
    </row>
    <row r="12" spans="1:12" s="1445" customFormat="1" ht="15" thickBot="1" x14ac:dyDescent="0.35">
      <c r="A12" s="1439">
        <v>5</v>
      </c>
      <c r="B12" s="1440" t="s">
        <v>540</v>
      </c>
      <c r="C12" s="1441"/>
      <c r="D12" s="1442">
        <v>8613422.3000000007</v>
      </c>
      <c r="E12" s="1442"/>
      <c r="F12" s="1443">
        <f t="shared" si="0"/>
        <v>8613422.3000000007</v>
      </c>
      <c r="G12" s="1444">
        <f>F12/F15</f>
        <v>4.425096432336563E-2</v>
      </c>
      <c r="I12" s="1446"/>
      <c r="J12" s="1446"/>
      <c r="K12" s="1446"/>
    </row>
    <row r="13" spans="1:12" ht="15" thickBot="1" x14ac:dyDescent="0.35">
      <c r="A13" s="447">
        <v>6</v>
      </c>
      <c r="B13" s="439" t="s">
        <v>424</v>
      </c>
      <c r="C13" s="516">
        <v>0</v>
      </c>
      <c r="D13" s="517">
        <v>0</v>
      </c>
      <c r="E13" s="517"/>
      <c r="F13" s="1434">
        <f t="shared" si="0"/>
        <v>0</v>
      </c>
      <c r="G13" s="486">
        <f>F13/F15</f>
        <v>0</v>
      </c>
    </row>
    <row r="14" spans="1:12" ht="15" thickBot="1" x14ac:dyDescent="0.35">
      <c r="A14" s="434">
        <v>7</v>
      </c>
      <c r="B14" s="435" t="s">
        <v>196</v>
      </c>
      <c r="C14" s="473">
        <v>6934281.5</v>
      </c>
      <c r="D14" s="514">
        <v>3874230.32</v>
      </c>
      <c r="E14" s="514"/>
      <c r="F14" s="1434">
        <f t="shared" si="0"/>
        <v>10808511.82</v>
      </c>
      <c r="G14" s="486">
        <f>F14/F15</f>
        <v>5.5528111159195766E-2</v>
      </c>
    </row>
    <row r="15" spans="1:12" ht="15" thickBot="1" x14ac:dyDescent="0.35">
      <c r="A15" s="440"/>
      <c r="B15" s="441" t="s">
        <v>203</v>
      </c>
      <c r="C15" s="475">
        <f>SUM(C5:C14)</f>
        <v>77379454.319999993</v>
      </c>
      <c r="D15" s="475">
        <f>SUM(D5:D14)</f>
        <v>45715574.890000008</v>
      </c>
      <c r="E15" s="475">
        <f>SUM(E5:E14)</f>
        <v>71554340.170000002</v>
      </c>
      <c r="F15" s="475">
        <f>SUM(F5:F14)</f>
        <v>194649369.38000005</v>
      </c>
      <c r="G15" s="492">
        <f>SUM(G5:G14)</f>
        <v>0.99999999999999989</v>
      </c>
    </row>
    <row r="16" spans="1:12" ht="16.2" thickBot="1" x14ac:dyDescent="0.35">
      <c r="A16" s="430" t="s">
        <v>2</v>
      </c>
      <c r="B16" s="1428" t="s">
        <v>160</v>
      </c>
      <c r="C16" s="476"/>
      <c r="D16" s="897"/>
      <c r="E16" s="897"/>
      <c r="F16" s="1434">
        <f t="shared" si="0"/>
        <v>0</v>
      </c>
      <c r="G16" s="493"/>
    </row>
    <row r="17" spans="1:12" ht="15" thickBot="1" x14ac:dyDescent="0.35">
      <c r="A17" s="434">
        <v>1</v>
      </c>
      <c r="B17" s="435" t="s">
        <v>204</v>
      </c>
      <c r="C17" s="474"/>
      <c r="D17" s="514"/>
      <c r="E17" s="514"/>
      <c r="F17" s="1434">
        <f t="shared" si="0"/>
        <v>0</v>
      </c>
      <c r="G17" s="486"/>
    </row>
    <row r="18" spans="1:12" ht="15" thickBot="1" x14ac:dyDescent="0.35">
      <c r="A18" s="442">
        <v>2</v>
      </c>
      <c r="B18" s="443" t="s">
        <v>207</v>
      </c>
      <c r="C18" s="473">
        <v>1038150</v>
      </c>
      <c r="D18" s="514">
        <v>1000000</v>
      </c>
      <c r="E18" s="514">
        <v>0</v>
      </c>
      <c r="F18" s="1434">
        <f t="shared" si="0"/>
        <v>2038150</v>
      </c>
      <c r="G18" s="486">
        <f>F18/F19</f>
        <v>1</v>
      </c>
    </row>
    <row r="19" spans="1:12" ht="15" thickBot="1" x14ac:dyDescent="0.35">
      <c r="A19" s="471"/>
      <c r="B19" s="470" t="s">
        <v>208</v>
      </c>
      <c r="C19" s="445">
        <f>C18</f>
        <v>1038150</v>
      </c>
      <c r="D19" s="445">
        <f>D18</f>
        <v>1000000</v>
      </c>
      <c r="E19" s="445">
        <f>E18</f>
        <v>0</v>
      </c>
      <c r="F19" s="445">
        <f>F18</f>
        <v>2038150</v>
      </c>
      <c r="G19" s="487">
        <f>G18</f>
        <v>1</v>
      </c>
    </row>
    <row r="20" spans="1:12" ht="16.2" thickBot="1" x14ac:dyDescent="0.35">
      <c r="A20" s="446" t="s">
        <v>161</v>
      </c>
      <c r="B20" s="1427" t="s">
        <v>162</v>
      </c>
      <c r="C20" s="477"/>
      <c r="D20" s="898"/>
      <c r="E20" s="898"/>
      <c r="F20" s="1434">
        <f t="shared" si="0"/>
        <v>0</v>
      </c>
      <c r="G20" s="494"/>
    </row>
    <row r="21" spans="1:12" ht="15" thickBot="1" x14ac:dyDescent="0.35">
      <c r="A21" s="434">
        <v>1</v>
      </c>
      <c r="B21" s="447" t="s">
        <v>209</v>
      </c>
      <c r="C21" s="464"/>
      <c r="D21" s="899"/>
      <c r="E21" s="899"/>
      <c r="F21" s="1434">
        <f t="shared" si="0"/>
        <v>0</v>
      </c>
      <c r="G21" s="486"/>
      <c r="I21" s="166">
        <f>2937062.89*2</f>
        <v>5874125.7800000003</v>
      </c>
    </row>
    <row r="22" spans="1:12" ht="15" thickBot="1" x14ac:dyDescent="0.35">
      <c r="A22" s="442">
        <v>2</v>
      </c>
      <c r="B22" s="443" t="s">
        <v>425</v>
      </c>
      <c r="C22" s="474"/>
      <c r="D22" s="514"/>
      <c r="E22" s="514"/>
      <c r="F22" s="1434">
        <f t="shared" si="0"/>
        <v>0</v>
      </c>
      <c r="G22" s="486"/>
    </row>
    <row r="23" spans="1:12" ht="15" thickBot="1" x14ac:dyDescent="0.35">
      <c r="A23" s="434">
        <v>3</v>
      </c>
      <c r="B23" s="435" t="s">
        <v>210</v>
      </c>
      <c r="C23" s="504">
        <v>3399262.44</v>
      </c>
      <c r="D23" s="900">
        <f>L23</f>
        <v>7155372.0099999998</v>
      </c>
      <c r="E23" s="900">
        <v>3268030.81</v>
      </c>
      <c r="F23" s="1434">
        <f t="shared" si="0"/>
        <v>13822665.26</v>
      </c>
      <c r="G23" s="495">
        <f>F23/F26</f>
        <v>1</v>
      </c>
      <c r="I23" s="166">
        <v>7203925.8200000003</v>
      </c>
      <c r="J23" s="166">
        <v>3268030.81</v>
      </c>
      <c r="K23" s="166">
        <f>I23-J23</f>
        <v>3935895.0100000002</v>
      </c>
      <c r="L23" s="4">
        <f>K23+3219477</f>
        <v>7155372.0099999998</v>
      </c>
    </row>
    <row r="24" spans="1:12" ht="15" thickBot="1" x14ac:dyDescent="0.35">
      <c r="A24" s="434">
        <v>4</v>
      </c>
      <c r="B24" s="447" t="s">
        <v>211</v>
      </c>
      <c r="C24" s="464"/>
      <c r="D24" s="899"/>
      <c r="E24" s="899"/>
      <c r="F24" s="1434">
        <f t="shared" si="0"/>
        <v>0</v>
      </c>
      <c r="G24" s="486"/>
    </row>
    <row r="25" spans="1:12" ht="15" thickBot="1" x14ac:dyDescent="0.35">
      <c r="A25" s="438">
        <v>5</v>
      </c>
      <c r="B25" s="439" t="s">
        <v>212</v>
      </c>
      <c r="C25" s="474"/>
      <c r="D25" s="514"/>
      <c r="E25" s="514"/>
      <c r="F25" s="1434">
        <f t="shared" si="0"/>
        <v>0</v>
      </c>
      <c r="G25" s="486"/>
    </row>
    <row r="26" spans="1:12" ht="15" thickBot="1" x14ac:dyDescent="0.35">
      <c r="A26" s="448"/>
      <c r="B26" s="444" t="s">
        <v>213</v>
      </c>
      <c r="C26" s="478">
        <f>C21+C22+C23+C24+C25</f>
        <v>3399262.44</v>
      </c>
      <c r="D26" s="478">
        <f>D21+D22+D23+D24+D25</f>
        <v>7155372.0099999998</v>
      </c>
      <c r="E26" s="478">
        <f>E21+E22+E23+E24+E25</f>
        <v>3268030.81</v>
      </c>
      <c r="F26" s="478">
        <f>F21+F22+F23+F24+F25</f>
        <v>13822665.26</v>
      </c>
      <c r="G26" s="487">
        <f>F26/F26</f>
        <v>1</v>
      </c>
    </row>
    <row r="27" spans="1:12" ht="15" thickBot="1" x14ac:dyDescent="0.35">
      <c r="A27" s="449" t="s">
        <v>165</v>
      </c>
      <c r="B27" s="450" t="s">
        <v>143</v>
      </c>
      <c r="C27" s="479"/>
      <c r="D27" s="901"/>
      <c r="E27" s="901"/>
      <c r="F27" s="1434">
        <f t="shared" si="0"/>
        <v>0</v>
      </c>
      <c r="G27" s="486"/>
    </row>
    <row r="28" spans="1:12" ht="15" thickBot="1" x14ac:dyDescent="0.35">
      <c r="A28" s="442">
        <v>1</v>
      </c>
      <c r="B28" s="443" t="s">
        <v>214</v>
      </c>
      <c r="C28" s="480">
        <v>2254502.33</v>
      </c>
      <c r="D28" s="902">
        <v>0</v>
      </c>
      <c r="E28" s="902">
        <v>6600000</v>
      </c>
      <c r="F28" s="1434">
        <f t="shared" si="0"/>
        <v>8854502.3300000001</v>
      </c>
      <c r="G28" s="486">
        <f>F28/F29</f>
        <v>1</v>
      </c>
    </row>
    <row r="29" spans="1:12" ht="15" thickBot="1" x14ac:dyDescent="0.35">
      <c r="A29" s="451"/>
      <c r="B29" s="439" t="s">
        <v>216</v>
      </c>
      <c r="C29" s="481">
        <f>C28</f>
        <v>2254502.33</v>
      </c>
      <c r="D29" s="481">
        <f>D28</f>
        <v>0</v>
      </c>
      <c r="E29" s="481">
        <f>E28</f>
        <v>6600000</v>
      </c>
      <c r="F29" s="481">
        <f>F28</f>
        <v>8854502.3300000001</v>
      </c>
      <c r="G29" s="486">
        <f>F29/F29</f>
        <v>1</v>
      </c>
    </row>
    <row r="30" spans="1:12" ht="15" thickBot="1" x14ac:dyDescent="0.35">
      <c r="A30" s="2028" t="s">
        <v>426</v>
      </c>
      <c r="B30" s="2029"/>
      <c r="C30" s="465">
        <f>C19+C15+C26+C29</f>
        <v>84071369.089999989</v>
      </c>
      <c r="D30" s="465">
        <f>D19+D15+D26+D29</f>
        <v>53870946.900000006</v>
      </c>
      <c r="E30" s="465">
        <f>E19+E15+E26+E29</f>
        <v>81422370.980000004</v>
      </c>
      <c r="F30" s="465">
        <f>F19+F15+F26+F29</f>
        <v>219364686.97000006</v>
      </c>
      <c r="G30" s="503">
        <f>F30/F30</f>
        <v>1</v>
      </c>
    </row>
    <row r="31" spans="1:12" ht="15" thickBot="1" x14ac:dyDescent="0.35">
      <c r="A31" s="2026" t="s">
        <v>330</v>
      </c>
      <c r="B31" s="2027"/>
      <c r="C31" s="452"/>
      <c r="D31" s="903"/>
      <c r="E31" s="1435"/>
      <c r="F31" s="1434">
        <f t="shared" si="0"/>
        <v>0</v>
      </c>
      <c r="G31" s="496"/>
    </row>
    <row r="32" spans="1:12" ht="15" thickBot="1" x14ac:dyDescent="0.35">
      <c r="A32" s="442" t="s">
        <v>163</v>
      </c>
      <c r="B32" s="443" t="s">
        <v>164</v>
      </c>
      <c r="C32" s="474"/>
      <c r="D32" s="514"/>
      <c r="E32" s="514"/>
      <c r="F32" s="1434">
        <f t="shared" si="0"/>
        <v>0</v>
      </c>
      <c r="G32" s="497"/>
    </row>
    <row r="33" spans="1:11" ht="15" thickBot="1" x14ac:dyDescent="0.35">
      <c r="A33" s="442">
        <v>1</v>
      </c>
      <c r="B33" s="443" t="s">
        <v>130</v>
      </c>
      <c r="C33" s="473">
        <f>10805195.64+1161843.9</f>
        <v>11967039.540000001</v>
      </c>
      <c r="D33" s="514">
        <v>6628723.7699999996</v>
      </c>
      <c r="E33" s="514">
        <f>5486683.85-428733.89</f>
        <v>5057949.96</v>
      </c>
      <c r="F33" s="1434">
        <f t="shared" si="0"/>
        <v>23653713.270000003</v>
      </c>
      <c r="G33" s="486">
        <f>F33/F40</f>
        <v>0.5469786800991614</v>
      </c>
      <c r="I33" s="166">
        <v>5155982.45</v>
      </c>
      <c r="J33" s="166">
        <f>4874046.36+612637.49</f>
        <v>5486683.8500000006</v>
      </c>
    </row>
    <row r="34" spans="1:11" ht="15" thickBot="1" x14ac:dyDescent="0.35">
      <c r="A34" s="442">
        <v>2</v>
      </c>
      <c r="B34" s="443" t="s">
        <v>218</v>
      </c>
      <c r="C34" s="474">
        <v>0</v>
      </c>
      <c r="D34" s="514"/>
      <c r="E34" s="514"/>
      <c r="F34" s="1434">
        <f t="shared" si="0"/>
        <v>0</v>
      </c>
      <c r="G34" s="486">
        <f>F34/F40</f>
        <v>0</v>
      </c>
      <c r="I34" s="166">
        <v>3979603.75</v>
      </c>
    </row>
    <row r="35" spans="1:11" ht="15" thickBot="1" x14ac:dyDescent="0.35">
      <c r="A35" s="442">
        <v>3</v>
      </c>
      <c r="B35" s="443" t="s">
        <v>219</v>
      </c>
      <c r="C35" s="474"/>
      <c r="D35" s="514"/>
      <c r="E35" s="514"/>
      <c r="F35" s="1434">
        <f t="shared" si="0"/>
        <v>0</v>
      </c>
      <c r="G35" s="486">
        <f>F35/F40</f>
        <v>0</v>
      </c>
      <c r="I35" s="166">
        <f>SUM(I33:I34)</f>
        <v>9135586.1999999993</v>
      </c>
    </row>
    <row r="36" spans="1:11" ht="15" thickBot="1" x14ac:dyDescent="0.35">
      <c r="A36" s="442">
        <v>4</v>
      </c>
      <c r="B36" s="443" t="s">
        <v>220</v>
      </c>
      <c r="C36" s="474"/>
      <c r="D36" s="514"/>
      <c r="E36" s="514"/>
      <c r="F36" s="1434">
        <f t="shared" si="0"/>
        <v>0</v>
      </c>
      <c r="G36" s="486">
        <f>F36/F40</f>
        <v>0</v>
      </c>
    </row>
    <row r="37" spans="1:11" ht="15" thickBot="1" x14ac:dyDescent="0.35">
      <c r="A37" s="442">
        <v>5</v>
      </c>
      <c r="B37" s="443" t="s">
        <v>221</v>
      </c>
      <c r="C37" s="473">
        <f>5155982.45+472500</f>
        <v>5628482.4500000002</v>
      </c>
      <c r="D37" s="514">
        <v>1789421.51</v>
      </c>
      <c r="E37" s="514">
        <v>12172688.5</v>
      </c>
      <c r="F37" s="1434">
        <f t="shared" si="0"/>
        <v>19590592.460000001</v>
      </c>
      <c r="G37" s="486">
        <f>F37/F40</f>
        <v>0.4530213199008386</v>
      </c>
      <c r="I37" s="166">
        <f>1318048.29+630392.95+4225058.29</f>
        <v>6173499.5300000003</v>
      </c>
    </row>
    <row r="38" spans="1:11" ht="15" thickBot="1" x14ac:dyDescent="0.35">
      <c r="A38" s="442">
        <v>6</v>
      </c>
      <c r="B38" s="443" t="s">
        <v>427</v>
      </c>
      <c r="C38" s="514">
        <v>0</v>
      </c>
      <c r="D38" s="514"/>
      <c r="E38" s="514"/>
      <c r="F38" s="1434">
        <f t="shared" si="0"/>
        <v>0</v>
      </c>
      <c r="G38" s="486">
        <f>F38/F40</f>
        <v>0</v>
      </c>
      <c r="I38" s="166">
        <f>10792956.82+7553231.21</f>
        <v>18346188.030000001</v>
      </c>
    </row>
    <row r="39" spans="1:11" ht="15" thickBot="1" x14ac:dyDescent="0.35">
      <c r="A39" s="442">
        <v>7</v>
      </c>
      <c r="B39" s="443" t="s">
        <v>222</v>
      </c>
      <c r="C39" s="474"/>
      <c r="D39" s="514"/>
      <c r="E39" s="514"/>
      <c r="F39" s="1434">
        <f t="shared" si="0"/>
        <v>0</v>
      </c>
      <c r="G39" s="486">
        <f>F39/F40</f>
        <v>0</v>
      </c>
      <c r="I39" s="166">
        <f>I38-I37</f>
        <v>12172688.5</v>
      </c>
    </row>
    <row r="40" spans="1:11" ht="15" thickBot="1" x14ac:dyDescent="0.35">
      <c r="A40" s="453"/>
      <c r="B40" s="441" t="s">
        <v>223</v>
      </c>
      <c r="C40" s="466">
        <f>SUM(C33:C39)</f>
        <v>17595521.990000002</v>
      </c>
      <c r="D40" s="466">
        <f>SUM(D33:D39)</f>
        <v>8418145.2799999993</v>
      </c>
      <c r="E40" s="466">
        <f>SUM(E33:E39)</f>
        <v>17230638.460000001</v>
      </c>
      <c r="F40" s="466">
        <f>SUM(F33:F39)</f>
        <v>43244305.730000004</v>
      </c>
      <c r="G40" s="505">
        <f>F40/F40</f>
        <v>1</v>
      </c>
    </row>
    <row r="41" spans="1:11" ht="15" thickBot="1" x14ac:dyDescent="0.35">
      <c r="A41" s="442" t="s">
        <v>165</v>
      </c>
      <c r="B41" s="443" t="s">
        <v>143</v>
      </c>
      <c r="C41" s="474"/>
      <c r="D41" s="514"/>
      <c r="E41" s="514"/>
      <c r="F41" s="1434">
        <f t="shared" si="0"/>
        <v>0</v>
      </c>
      <c r="G41" s="497"/>
    </row>
    <row r="42" spans="1:11" ht="15" thickBot="1" x14ac:dyDescent="0.35">
      <c r="A42" s="442">
        <v>1</v>
      </c>
      <c r="B42" s="443"/>
      <c r="C42" s="474"/>
      <c r="D42" s="514"/>
      <c r="E42" s="514"/>
      <c r="F42" s="1434">
        <f t="shared" si="0"/>
        <v>0</v>
      </c>
      <c r="G42" s="497"/>
    </row>
    <row r="43" spans="1:11" ht="15" thickBot="1" x14ac:dyDescent="0.35">
      <c r="A43" s="453"/>
      <c r="B43" s="454" t="s">
        <v>224</v>
      </c>
      <c r="C43" s="509"/>
      <c r="D43" s="896"/>
      <c r="E43" s="896"/>
      <c r="F43" s="1434">
        <f t="shared" si="0"/>
        <v>0</v>
      </c>
      <c r="G43" s="498"/>
    </row>
    <row r="44" spans="1:11" s="513" customFormat="1" ht="16.2" thickBot="1" x14ac:dyDescent="0.35">
      <c r="A44" s="2024" t="s">
        <v>225</v>
      </c>
      <c r="B44" s="2025"/>
      <c r="C44" s="511">
        <f>C40</f>
        <v>17595521.990000002</v>
      </c>
      <c r="D44" s="511">
        <f>D40</f>
        <v>8418145.2799999993</v>
      </c>
      <c r="E44" s="511">
        <f>E40</f>
        <v>17230638.460000001</v>
      </c>
      <c r="F44" s="511">
        <f>F40</f>
        <v>43244305.730000004</v>
      </c>
      <c r="G44" s="512">
        <f>F44/F44</f>
        <v>1</v>
      </c>
      <c r="I44" s="909"/>
      <c r="J44" s="909"/>
      <c r="K44" s="909"/>
    </row>
    <row r="45" spans="1:11" ht="15" thickBot="1" x14ac:dyDescent="0.35">
      <c r="A45" s="2026" t="s">
        <v>327</v>
      </c>
      <c r="B45" s="2027"/>
      <c r="C45" s="452"/>
      <c r="D45" s="903"/>
      <c r="E45" s="1435"/>
      <c r="F45" s="1434">
        <f t="shared" si="0"/>
        <v>0</v>
      </c>
      <c r="G45" s="482"/>
    </row>
    <row r="46" spans="1:11" ht="15" thickBot="1" x14ac:dyDescent="0.35">
      <c r="A46" s="442" t="s">
        <v>161</v>
      </c>
      <c r="B46" s="443" t="s">
        <v>162</v>
      </c>
      <c r="C46" s="474"/>
      <c r="D46" s="514">
        <v>0</v>
      </c>
      <c r="E46" s="514"/>
      <c r="F46" s="1434">
        <f t="shared" si="0"/>
        <v>0</v>
      </c>
      <c r="G46" s="497">
        <v>0</v>
      </c>
    </row>
    <row r="47" spans="1:11" ht="15" thickBot="1" x14ac:dyDescent="0.35">
      <c r="A47" s="442">
        <v>1</v>
      </c>
      <c r="B47" s="443" t="s">
        <v>226</v>
      </c>
      <c r="C47" s="474"/>
      <c r="D47" s="514"/>
      <c r="E47" s="514"/>
      <c r="F47" s="1434">
        <f t="shared" si="0"/>
        <v>0</v>
      </c>
      <c r="G47" s="497"/>
    </row>
    <row r="48" spans="1:11" ht="15" thickBot="1" x14ac:dyDescent="0.35">
      <c r="A48" s="442">
        <v>2</v>
      </c>
      <c r="B48" s="443" t="s">
        <v>227</v>
      </c>
      <c r="C48" s="474"/>
      <c r="D48" s="514"/>
      <c r="E48" s="514"/>
      <c r="F48" s="1434">
        <f t="shared" si="0"/>
        <v>0</v>
      </c>
      <c r="G48" s="497"/>
    </row>
    <row r="49" spans="1:11" ht="15" thickBot="1" x14ac:dyDescent="0.35">
      <c r="A49" s="453"/>
      <c r="B49" s="454" t="s">
        <v>228</v>
      </c>
      <c r="C49" s="483"/>
      <c r="D49" s="904">
        <f>D46</f>
        <v>0</v>
      </c>
      <c r="E49" s="904"/>
      <c r="F49" s="1434">
        <f t="shared" si="0"/>
        <v>0</v>
      </c>
      <c r="G49" s="498">
        <v>0</v>
      </c>
    </row>
    <row r="50" spans="1:11" ht="15" thickBot="1" x14ac:dyDescent="0.35">
      <c r="A50" s="455" t="s">
        <v>163</v>
      </c>
      <c r="B50" s="456" t="s">
        <v>164</v>
      </c>
      <c r="C50" s="479"/>
      <c r="D50" s="901"/>
      <c r="E50" s="901"/>
      <c r="F50" s="1434">
        <f t="shared" si="0"/>
        <v>0</v>
      </c>
      <c r="G50" s="491"/>
    </row>
    <row r="51" spans="1:11" ht="15" thickBot="1" x14ac:dyDescent="0.35">
      <c r="A51" s="442">
        <v>1</v>
      </c>
      <c r="B51" s="443" t="s">
        <v>229</v>
      </c>
      <c r="C51" s="473">
        <v>5890561.6600000001</v>
      </c>
      <c r="D51" s="514">
        <v>2591929.04</v>
      </c>
      <c r="E51" s="514">
        <v>4212735.6500000004</v>
      </c>
      <c r="F51" s="1434">
        <f t="shared" si="0"/>
        <v>12695226.35</v>
      </c>
      <c r="G51" s="486">
        <f>F51/F52</f>
        <v>1</v>
      </c>
      <c r="I51" s="166">
        <f>9806360.5+1383319.47</f>
        <v>11189679.970000001</v>
      </c>
    </row>
    <row r="52" spans="1:11" ht="15" thickBot="1" x14ac:dyDescent="0.35">
      <c r="A52" s="453"/>
      <c r="B52" s="454" t="s">
        <v>223</v>
      </c>
      <c r="C52" s="475">
        <v>5890561.6600000001</v>
      </c>
      <c r="D52" s="475">
        <f>D51</f>
        <v>2591929.04</v>
      </c>
      <c r="E52" s="475">
        <f>E51</f>
        <v>4212735.6500000004</v>
      </c>
      <c r="F52" s="475">
        <f>F51</f>
        <v>12695226.35</v>
      </c>
      <c r="G52" s="487">
        <f>F52/F52</f>
        <v>1</v>
      </c>
      <c r="I52" s="166">
        <v>15402415.619999999</v>
      </c>
    </row>
    <row r="53" spans="1:11" ht="15" thickBot="1" x14ac:dyDescent="0.35">
      <c r="A53" s="442" t="s">
        <v>165</v>
      </c>
      <c r="B53" s="443" t="s">
        <v>143</v>
      </c>
      <c r="C53" s="484"/>
      <c r="D53" s="518"/>
      <c r="E53" s="518"/>
      <c r="F53" s="1434">
        <f t="shared" si="0"/>
        <v>0</v>
      </c>
      <c r="G53" s="497"/>
      <c r="I53" s="166">
        <f>I52-I51</f>
        <v>4212735.6499999985</v>
      </c>
    </row>
    <row r="54" spans="1:11" s="2" customFormat="1" ht="15" thickBot="1" x14ac:dyDescent="0.35">
      <c r="A54" s="455"/>
      <c r="B54" s="456" t="s">
        <v>433</v>
      </c>
      <c r="C54" s="472"/>
      <c r="D54" s="895"/>
      <c r="E54" s="895"/>
      <c r="F54" s="1434">
        <f t="shared" si="0"/>
        <v>0</v>
      </c>
      <c r="G54" s="491"/>
      <c r="I54" s="910"/>
      <c r="J54" s="910"/>
      <c r="K54" s="910"/>
    </row>
    <row r="55" spans="1:11" s="1445" customFormat="1" ht="15" thickBot="1" x14ac:dyDescent="0.35">
      <c r="A55" s="1447">
        <v>1</v>
      </c>
      <c r="B55" s="1448" t="s">
        <v>152</v>
      </c>
      <c r="C55" s="1449">
        <v>0</v>
      </c>
      <c r="D55" s="1449">
        <v>0</v>
      </c>
      <c r="E55" s="1449"/>
      <c r="F55" s="1443">
        <f t="shared" si="0"/>
        <v>0</v>
      </c>
      <c r="G55" s="1450">
        <f>F55/F60</f>
        <v>0</v>
      </c>
      <c r="I55" s="1446"/>
      <c r="J55" s="1446"/>
      <c r="K55" s="1446"/>
    </row>
    <row r="56" spans="1:11" s="66" customFormat="1" ht="15" thickBot="1" x14ac:dyDescent="0.35">
      <c r="A56" s="442">
        <v>2</v>
      </c>
      <c r="B56" s="443" t="s">
        <v>244</v>
      </c>
      <c r="C56" s="518">
        <v>4000000</v>
      </c>
      <c r="D56" s="518">
        <v>1208526</v>
      </c>
      <c r="E56" s="518"/>
      <c r="F56" s="1434">
        <f t="shared" si="0"/>
        <v>5208526</v>
      </c>
      <c r="G56" s="519">
        <f>F56/F60</f>
        <v>0.2909181214182735</v>
      </c>
      <c r="I56" s="166"/>
      <c r="J56" s="166"/>
      <c r="K56" s="166"/>
    </row>
    <row r="57" spans="1:11" s="66" customFormat="1" ht="15" thickBot="1" x14ac:dyDescent="0.35">
      <c r="A57" s="442">
        <v>3</v>
      </c>
      <c r="B57" s="443" t="s">
        <v>412</v>
      </c>
      <c r="C57" s="518">
        <v>0</v>
      </c>
      <c r="D57" s="518"/>
      <c r="E57" s="518"/>
      <c r="F57" s="1434">
        <f t="shared" si="0"/>
        <v>0</v>
      </c>
      <c r="G57" s="519">
        <f>F57/F60</f>
        <v>0</v>
      </c>
      <c r="I57" s="166"/>
      <c r="J57" s="166"/>
      <c r="K57" s="166"/>
    </row>
    <row r="58" spans="1:11" s="66" customFormat="1" ht="15" thickBot="1" x14ac:dyDescent="0.35">
      <c r="A58" s="442">
        <v>4</v>
      </c>
      <c r="B58" s="443" t="s">
        <v>406</v>
      </c>
      <c r="C58" s="518">
        <v>0</v>
      </c>
      <c r="D58" s="518"/>
      <c r="E58" s="518"/>
      <c r="F58" s="1434">
        <f t="shared" si="0"/>
        <v>0</v>
      </c>
      <c r="G58" s="519">
        <f>F58/F60</f>
        <v>0</v>
      </c>
      <c r="I58" s="166"/>
      <c r="J58" s="166"/>
      <c r="K58" s="166"/>
    </row>
    <row r="59" spans="1:11" s="2" customFormat="1" ht="15" thickBot="1" x14ac:dyDescent="0.35">
      <c r="A59" s="455"/>
      <c r="B59" s="456" t="s">
        <v>224</v>
      </c>
      <c r="C59" s="520">
        <f>SUM(C55:C58)</f>
        <v>4000000</v>
      </c>
      <c r="D59" s="520">
        <f>SUM(D55:D58)</f>
        <v>1208526</v>
      </c>
      <c r="E59" s="520"/>
      <c r="F59" s="1434">
        <f t="shared" si="0"/>
        <v>5208526</v>
      </c>
      <c r="G59" s="521">
        <f>F59/F60</f>
        <v>0.2909181214182735</v>
      </c>
      <c r="I59" s="910"/>
      <c r="J59" s="910"/>
      <c r="K59" s="910"/>
    </row>
    <row r="60" spans="1:11" ht="18" thickBot="1" x14ac:dyDescent="0.35">
      <c r="A60" s="2022" t="s">
        <v>230</v>
      </c>
      <c r="B60" s="2023"/>
      <c r="C60" s="510">
        <f>C59+C52</f>
        <v>9890561.6600000001</v>
      </c>
      <c r="D60" s="510">
        <f>D59+D52</f>
        <v>3800455.04</v>
      </c>
      <c r="E60" s="510">
        <f>E59+E52</f>
        <v>4212735.6500000004</v>
      </c>
      <c r="F60" s="510">
        <f>F59+F52</f>
        <v>17903752.350000001</v>
      </c>
      <c r="G60" s="499">
        <f>F60/F60</f>
        <v>1</v>
      </c>
      <c r="I60" s="1123">
        <v>4038512.4</v>
      </c>
    </row>
    <row r="61" spans="1:11" ht="15" thickBot="1" x14ac:dyDescent="0.35">
      <c r="A61" s="507" t="s">
        <v>167</v>
      </c>
      <c r="B61" s="508"/>
      <c r="C61" s="457"/>
      <c r="D61" s="905"/>
      <c r="E61" s="905"/>
      <c r="F61" s="1434">
        <f t="shared" si="0"/>
        <v>0</v>
      </c>
      <c r="G61" s="506"/>
    </row>
    <row r="62" spans="1:11" ht="15" thickBot="1" x14ac:dyDescent="0.35">
      <c r="A62" s="2026" t="s">
        <v>232</v>
      </c>
      <c r="B62" s="2027"/>
      <c r="C62" s="458"/>
      <c r="D62" s="906"/>
      <c r="E62" s="906"/>
      <c r="F62" s="1434">
        <f t="shared" si="0"/>
        <v>0</v>
      </c>
      <c r="G62" s="500"/>
    </row>
    <row r="63" spans="1:11" ht="15" thickBot="1" x14ac:dyDescent="0.35">
      <c r="A63" s="459"/>
      <c r="B63" s="460"/>
      <c r="C63" s="484"/>
      <c r="D63" s="518"/>
      <c r="E63" s="518"/>
      <c r="F63" s="1434">
        <f t="shared" si="0"/>
        <v>0</v>
      </c>
      <c r="G63" s="497"/>
    </row>
    <row r="64" spans="1:11" ht="15" thickBot="1" x14ac:dyDescent="0.35">
      <c r="A64" s="2030" t="s">
        <v>428</v>
      </c>
      <c r="B64" s="2031"/>
      <c r="C64" s="468">
        <f>C67-C66</f>
        <v>111557452.73999999</v>
      </c>
      <c r="D64" s="468">
        <f>D67-D66</f>
        <v>66089547.220000006</v>
      </c>
      <c r="E64" s="468">
        <f>E67-E66</f>
        <v>102865745.09</v>
      </c>
      <c r="F64" s="468">
        <f>F67-F66</f>
        <v>280512745.05000007</v>
      </c>
      <c r="G64" s="524">
        <v>1</v>
      </c>
    </row>
    <row r="65" spans="1:7" ht="15" thickBot="1" x14ac:dyDescent="0.35">
      <c r="A65" s="2034"/>
      <c r="B65" s="2035"/>
      <c r="C65" s="461"/>
      <c r="D65" s="907"/>
      <c r="E65" s="907"/>
      <c r="F65" s="1434">
        <f t="shared" si="0"/>
        <v>0</v>
      </c>
      <c r="G65" s="497"/>
    </row>
    <row r="66" spans="1:7" ht="15" thickBot="1" x14ac:dyDescent="0.35">
      <c r="A66" s="2030" t="s">
        <v>429</v>
      </c>
      <c r="B66" s="2031"/>
      <c r="C66" s="462">
        <v>1247132.21</v>
      </c>
      <c r="D66" s="908">
        <f>I60</f>
        <v>4038512.4</v>
      </c>
      <c r="E66" s="908">
        <v>4000000</v>
      </c>
      <c r="F66" s="1434">
        <f t="shared" si="0"/>
        <v>9285644.6099999994</v>
      </c>
      <c r="G66" s="501">
        <f>F66/F66</f>
        <v>1</v>
      </c>
    </row>
    <row r="67" spans="1:7" ht="15" thickBot="1" x14ac:dyDescent="0.35">
      <c r="A67" s="2032" t="s">
        <v>430</v>
      </c>
      <c r="B67" s="2033"/>
      <c r="C67" s="469">
        <f>C66+C61+C44+C30+C60</f>
        <v>112804584.94999999</v>
      </c>
      <c r="D67" s="469">
        <f>D66+D61+D44+D30+D60</f>
        <v>70128059.620000005</v>
      </c>
      <c r="E67" s="469">
        <f>E66+E61+E44+E30+E60</f>
        <v>106865745.09</v>
      </c>
      <c r="F67" s="469">
        <f>F66+F61+F44+F30+F60</f>
        <v>289798389.66000009</v>
      </c>
      <c r="G67" s="469">
        <v>0</v>
      </c>
    </row>
    <row r="70" spans="1:7" x14ac:dyDescent="0.3">
      <c r="A70" s="117" t="s">
        <v>238</v>
      </c>
    </row>
  </sheetData>
  <mergeCells count="11">
    <mergeCell ref="A66:B66"/>
    <mergeCell ref="A67:B67"/>
    <mergeCell ref="A64:B64"/>
    <mergeCell ref="A65:B65"/>
    <mergeCell ref="A62:B62"/>
    <mergeCell ref="A2:B2"/>
    <mergeCell ref="A60:B60"/>
    <mergeCell ref="A44:B44"/>
    <mergeCell ref="A45:B45"/>
    <mergeCell ref="A30:B30"/>
    <mergeCell ref="A31:B31"/>
  </mergeCells>
  <hyperlinks>
    <hyperlink ref="B3" location="_ftn1" display="_ftn1"/>
    <hyperlink ref="A70" location="_ftnref1" display="_ftnref1"/>
  </hyperlinks>
  <pageMargins left="0.7" right="0.7" top="0.75" bottom="0.75" header="0.3" footer="0.3"/>
  <pageSetup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1"/>
  <sheetViews>
    <sheetView workbookViewId="0">
      <selection activeCell="D6" sqref="D6"/>
    </sheetView>
  </sheetViews>
  <sheetFormatPr defaultRowHeight="14.4" x14ac:dyDescent="0.3"/>
  <cols>
    <col min="2" max="2" width="5" customWidth="1"/>
    <col min="3" max="3" width="27.5546875" bestFit="1" customWidth="1"/>
    <col min="4" max="4" width="16.5546875" bestFit="1" customWidth="1"/>
    <col min="5" max="5" width="16.88671875" customWidth="1"/>
    <col min="6" max="7" width="16.44140625" customWidth="1"/>
    <col min="8" max="8" width="11.44140625" customWidth="1"/>
  </cols>
  <sheetData>
    <row r="1" spans="2:8" ht="15" thickBot="1" x14ac:dyDescent="0.35"/>
    <row r="2" spans="2:8" ht="16.2" thickBot="1" x14ac:dyDescent="0.35">
      <c r="B2" s="104" t="s">
        <v>3</v>
      </c>
      <c r="C2" s="105" t="s">
        <v>154</v>
      </c>
      <c r="D2" s="105" t="s">
        <v>157</v>
      </c>
      <c r="E2" s="105" t="s">
        <v>562</v>
      </c>
      <c r="F2" s="105" t="s">
        <v>794</v>
      </c>
      <c r="G2" s="105" t="s">
        <v>8</v>
      </c>
      <c r="H2" s="114" t="s">
        <v>158</v>
      </c>
    </row>
    <row r="3" spans="2:8" ht="15" customHeight="1" thickBot="1" x14ac:dyDescent="0.35">
      <c r="B3" s="108" t="s">
        <v>1</v>
      </c>
      <c r="C3" s="108" t="s">
        <v>159</v>
      </c>
      <c r="D3" s="109">
        <f>'10. Three-year Rolling CIP'!H41</f>
        <v>120019208.71000001</v>
      </c>
      <c r="E3" s="109">
        <f>'10. Three-year Rolling CIP'!J41</f>
        <v>133075035.08899999</v>
      </c>
      <c r="F3" s="109">
        <f>'10. Three-year Rolling CIP'!L41</f>
        <v>157455462.87982997</v>
      </c>
      <c r="G3" s="109">
        <f t="shared" ref="G3:G8" si="0">F3+E3+D3</f>
        <v>410549706.67883003</v>
      </c>
      <c r="H3" s="115">
        <f>G3/G9</f>
        <v>0.6319004295108136</v>
      </c>
    </row>
    <row r="4" spans="2:8" ht="15" customHeight="1" thickBot="1" x14ac:dyDescent="0.35">
      <c r="B4" s="108" t="s">
        <v>2</v>
      </c>
      <c r="C4" s="108" t="s">
        <v>160</v>
      </c>
      <c r="D4" s="109">
        <f>'10. Three-year Rolling CIP'!H49</f>
        <v>1000000</v>
      </c>
      <c r="E4" s="109">
        <v>0</v>
      </c>
      <c r="F4" s="109">
        <v>0</v>
      </c>
      <c r="G4" s="109">
        <f t="shared" si="0"/>
        <v>1000000</v>
      </c>
      <c r="H4" s="115"/>
    </row>
    <row r="5" spans="2:8" ht="15" customHeight="1" thickBot="1" x14ac:dyDescent="0.35">
      <c r="B5" s="108" t="s">
        <v>161</v>
      </c>
      <c r="C5" s="108" t="s">
        <v>162</v>
      </c>
      <c r="D5" s="109">
        <f>'10. Three-year Rolling CIP'!H67</f>
        <v>5000000</v>
      </c>
      <c r="E5" s="109">
        <f>'10. Three-year Rolling CIP'!J67+'10. Three-year Rolling CIP'!J110</f>
        <v>5900000</v>
      </c>
      <c r="F5" s="109">
        <f>'10. Three-year Rolling CIP'!L110+'10. Three-year Rolling CIP'!L67</f>
        <v>6903000</v>
      </c>
      <c r="G5" s="109">
        <f t="shared" si="0"/>
        <v>17803000</v>
      </c>
      <c r="H5" s="115">
        <f>G5/G9</f>
        <v>2.7401610970779696E-2</v>
      </c>
    </row>
    <row r="6" spans="2:8" ht="15" customHeight="1" thickBot="1" x14ac:dyDescent="0.35">
      <c r="B6" s="108" t="s">
        <v>163</v>
      </c>
      <c r="C6" s="108" t="s">
        <v>164</v>
      </c>
      <c r="D6" s="109">
        <f>'10. Three-year Rolling CIP'!H99+'10. Three-year Rolling CIP'!H115</f>
        <v>50784254.420000002</v>
      </c>
      <c r="E6" s="109">
        <f>'10. Three-year Rolling CIP'!J99+'10. Three-year Rolling CIP'!J115</f>
        <v>38680402.673599996</v>
      </c>
      <c r="F6" s="109">
        <f>'10. Three-year Rolling CIP'!L99+'10. Three-year Rolling CIP'!L115</f>
        <v>41059764.018111996</v>
      </c>
      <c r="G6" s="109">
        <f t="shared" si="0"/>
        <v>130524421.11171199</v>
      </c>
      <c r="H6" s="115">
        <f>G6/G9</f>
        <v>0.20089756835866743</v>
      </c>
    </row>
    <row r="7" spans="2:8" ht="15" customHeight="1" thickBot="1" x14ac:dyDescent="0.35">
      <c r="B7" s="423" t="s">
        <v>165</v>
      </c>
      <c r="C7" s="423" t="s">
        <v>168</v>
      </c>
      <c r="D7" s="424">
        <f>'10. Three-year Rolling CIP'!H135</f>
        <v>5040160.0199999996</v>
      </c>
      <c r="E7" s="109">
        <f>'10. Three-year Rolling CIP'!J135</f>
        <v>5947388.8235999988</v>
      </c>
      <c r="F7" s="109">
        <f>'10. Three-year Rolling CIP'!L135</f>
        <v>6958444.9236119986</v>
      </c>
      <c r="G7" s="109">
        <f t="shared" si="0"/>
        <v>17945993.767211996</v>
      </c>
      <c r="H7" s="115">
        <f>G7/G9</f>
        <v>2.7621700819703436E-2</v>
      </c>
    </row>
    <row r="8" spans="2:8" ht="48.75" customHeight="1" x14ac:dyDescent="0.3">
      <c r="B8" s="110" t="s">
        <v>166</v>
      </c>
      <c r="C8" s="110" t="s">
        <v>167</v>
      </c>
      <c r="D8" s="111">
        <f>'10. Three-year Rolling CIP'!H131+'10. Three-year Rolling CIP'!H72</f>
        <v>19956703.690000001</v>
      </c>
      <c r="E8" s="111">
        <f>'10. Three-year Rolling CIP'!J131+'10. Three-year Rolling CIP'!J69</f>
        <v>23654968.199999999</v>
      </c>
      <c r="F8" s="111">
        <f>'10. Three-year Rolling CIP'!L131+'10. Three-year Rolling CIP'!L72</f>
        <v>28271532.905999999</v>
      </c>
      <c r="G8" s="109">
        <f t="shared" si="0"/>
        <v>71883204.796000004</v>
      </c>
      <c r="H8" s="425">
        <f>G8/G9</f>
        <v>0.11063953340183549</v>
      </c>
    </row>
    <row r="9" spans="2:8" s="2" customFormat="1" ht="15" customHeight="1" x14ac:dyDescent="0.3">
      <c r="B9" s="112"/>
      <c r="C9" s="112" t="s">
        <v>8</v>
      </c>
      <c r="D9" s="113">
        <f>SUM(D3:D8)</f>
        <v>201800326.84</v>
      </c>
      <c r="E9" s="113">
        <f>SUM(E3:E8)</f>
        <v>207257794.78619996</v>
      </c>
      <c r="F9" s="113">
        <f>SUM(F3:F8)</f>
        <v>240648204.72755396</v>
      </c>
      <c r="G9" s="113">
        <f>SUM(G3:G8)</f>
        <v>649706326.35375404</v>
      </c>
      <c r="H9" s="116">
        <f>G9/G9</f>
        <v>1</v>
      </c>
    </row>
    <row r="11" spans="2:8" x14ac:dyDescent="0.3">
      <c r="D11" s="4"/>
      <c r="E11" s="4"/>
      <c r="F11" s="4"/>
      <c r="G11" s="4"/>
    </row>
    <row r="12" spans="2:8" ht="15" thickBot="1" x14ac:dyDescent="0.35">
      <c r="D12" s="165">
        <v>161467518.53570002</v>
      </c>
      <c r="E12" s="165">
        <v>144441950.14027005</v>
      </c>
      <c r="F12" s="165">
        <v>170720306.45851353</v>
      </c>
      <c r="G12" s="165">
        <v>476629775.13448364</v>
      </c>
    </row>
    <row r="13" spans="2:8" x14ac:dyDescent="0.3">
      <c r="D13" s="4"/>
      <c r="E13" s="4"/>
    </row>
    <row r="14" spans="2:8" x14ac:dyDescent="0.3">
      <c r="D14" s="95"/>
      <c r="E14" s="4">
        <f>E9-E12</f>
        <v>62815844.645929903</v>
      </c>
      <c r="F14" s="4">
        <f>F9-F12</f>
        <v>69927898.269040436</v>
      </c>
    </row>
    <row r="17" spans="2:10" x14ac:dyDescent="0.3">
      <c r="D17" s="166">
        <v>161467518.53570002</v>
      </c>
      <c r="E17" s="166">
        <v>143698647.28377002</v>
      </c>
      <c r="F17" s="166">
        <v>169122205.31703854</v>
      </c>
    </row>
    <row r="18" spans="2:10" x14ac:dyDescent="0.3">
      <c r="D18" s="4">
        <f>D17-D9</f>
        <v>-40332808.30429998</v>
      </c>
      <c r="E18" s="4">
        <f>E17-E9</f>
        <v>-63559147.502429932</v>
      </c>
      <c r="F18" s="4">
        <f>F17-F9</f>
        <v>-71525999.410515428</v>
      </c>
    </row>
    <row r="19" spans="2:10" s="166" customFormat="1" x14ac:dyDescent="0.3">
      <c r="B19" s="1451"/>
      <c r="C19" s="1451" t="s">
        <v>792</v>
      </c>
      <c r="D19" s="1451">
        <f>'11. Three-year-IBEX'!D14</f>
        <v>174266434.84</v>
      </c>
      <c r="E19" s="1451">
        <f>'11. Three-year-IBEX'!E14</f>
        <v>174217124.38620001</v>
      </c>
      <c r="F19" s="1451">
        <f>'11. Three-year-IBEX'!F14</f>
        <v>200999400.247554</v>
      </c>
      <c r="G19" s="1451">
        <f>'11. Three-year-IBEX'!G14</f>
        <v>549482959.47375405</v>
      </c>
      <c r="H19" s="166">
        <v>1</v>
      </c>
      <c r="J19" s="166">
        <v>0.99999999999999989</v>
      </c>
    </row>
    <row r="20" spans="2:10" x14ac:dyDescent="0.3">
      <c r="B20" s="1452"/>
      <c r="C20" s="1452" t="s">
        <v>793</v>
      </c>
      <c r="D20" s="1453">
        <f>D9-D19</f>
        <v>27533892</v>
      </c>
      <c r="E20" s="1453">
        <f>E9-E19</f>
        <v>33040670.399999946</v>
      </c>
      <c r="F20" s="1453">
        <f>F9-F19</f>
        <v>39648804.479999959</v>
      </c>
      <c r="G20" s="1453">
        <f>G9-G19</f>
        <v>100223366.88</v>
      </c>
    </row>
    <row r="21" spans="2:10" x14ac:dyDescent="0.3">
      <c r="D21" s="4">
        <f>D19+D20</f>
        <v>201800326.84</v>
      </c>
      <c r="E21" s="4">
        <f t="shared" ref="E21:G21" si="1">E19+E20</f>
        <v>207257794.78619996</v>
      </c>
      <c r="F21" s="4">
        <f t="shared" si="1"/>
        <v>240648204.72755396</v>
      </c>
      <c r="G21" s="4">
        <f t="shared" si="1"/>
        <v>649706326.35375404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Table 1. Performance Indicator </vt:lpstr>
      <vt:lpstr>Table 2. City Financial Perform</vt:lpstr>
      <vt:lpstr>Table 3. 1st Round Public Consu</vt:lpstr>
      <vt:lpstr>Table 4. 2nd Round Public Consu</vt:lpstr>
      <vt:lpstr>Table 5. Prioritized Projects</vt:lpstr>
      <vt:lpstr>Table 6. Summary of Multi year</vt:lpstr>
      <vt:lpstr>Table 7. Mulyi year</vt:lpstr>
      <vt:lpstr>Table 8. Past 3 year expenditur</vt:lpstr>
      <vt:lpstr>Table 9. Three-year Summary</vt:lpstr>
      <vt:lpstr>10. Three-year Rolling CIP</vt:lpstr>
      <vt:lpstr>11. Three-year-IBEX</vt:lpstr>
      <vt:lpstr>12. Detail by source fund</vt:lpstr>
      <vt:lpstr>13. Detailed AAP </vt:lpstr>
      <vt:lpstr>14. Three Year Maintenance</vt:lpstr>
      <vt:lpstr>15. Maintenance action plan</vt:lpstr>
      <vt:lpstr>16. APP UIIDP</vt:lpstr>
      <vt:lpstr>State projects APP</vt:lpstr>
      <vt:lpstr> Municipal Projects APP </vt:lpstr>
      <vt:lpstr>Goods APP </vt:lpstr>
      <vt:lpstr> Maintenance APP </vt:lpstr>
      <vt:lpstr>17. Staffing</vt:lpstr>
      <vt:lpstr>18.JOB CREATION</vt:lpstr>
      <vt:lpstr>19. capacity Building Plan</vt:lpstr>
      <vt:lpstr>20. AAP Capacity Building</vt:lpstr>
      <vt:lpstr>'10. Three-year Rolling CIP'!_ftn1</vt:lpstr>
      <vt:lpstr>'Table 2. City Financial Perform'!_ftn2</vt:lpstr>
      <vt:lpstr>'10. Three-year Rolling CIP'!_ftnref1</vt:lpstr>
      <vt:lpstr>'15. Maintenance action plan'!_ftnref1</vt:lpstr>
      <vt:lpstr>'Table 2. City Financial Perform'!_ftnref2</vt:lpstr>
      <vt:lpstr>'Table 3. 1st Round Public Consu'!_Hlk505155074</vt:lpstr>
      <vt:lpstr>'Table 4. 2nd Round Public Consu'!_Hlk505155215</vt:lpstr>
      <vt:lpstr>'Table 1. Performance Indicator '!_Toc441585897</vt:lpstr>
      <vt:lpstr>'17. Staffing'!_Toc441585911</vt:lpstr>
      <vt:lpstr>' Maintenance APP '!Print_Area</vt:lpstr>
      <vt:lpstr>' Municipal Projects APP '!Print_Area</vt:lpstr>
      <vt:lpstr>'11. Three-year-IBEX'!Print_Area</vt:lpstr>
      <vt:lpstr>'15. Maintenance action plan'!Print_Area</vt:lpstr>
      <vt:lpstr>'16. APP UIIDP'!Print_Area</vt:lpstr>
      <vt:lpstr>'Goods APP '!Print_Area</vt:lpstr>
      <vt:lpstr>'State projects APP'!Print_Area</vt:lpstr>
      <vt:lpstr>'Table 3. 1st Round Public Consu'!Print_Area</vt:lpstr>
      <vt:lpstr>'Table 6. Summary of Multi year'!Print_Area</vt:lpstr>
      <vt:lpstr>'Table 8. Past 3 year expenditur'!Print_Area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2021-07-13T06:15:21Z</dcterms:modified>
</cp:coreProperties>
</file>